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ia\monte_carlo_method\"/>
    </mc:Choice>
  </mc:AlternateContent>
  <xr:revisionPtr revIDLastSave="0" documentId="13_ncr:1_{FE707F61-BC24-4B1A-8867-F1C44EB819F3}" xr6:coauthVersionLast="45" xr6:coauthVersionMax="45" xr10:uidLastSave="{00000000-0000-0000-0000-000000000000}"/>
  <bookViews>
    <workbookView xWindow="-23148" yWindow="4212" windowWidth="23256" windowHeight="12576" xr2:uid="{B93462D3-EEE8-4BE9-A730-949A5BB6D156}"/>
  </bookViews>
  <sheets>
    <sheet name="ext_max_max" sheetId="9" r:id="rId1"/>
    <sheet name="done_cos_max_max" sheetId="8" r:id="rId2"/>
    <sheet name="done_ext_max_512" sheetId="7" r:id="rId3"/>
    <sheet name="done_cos_max_512" sheetId="6" r:id="rId4"/>
    <sheet name="done_ext_100_max" sheetId="5" r:id="rId5"/>
    <sheet name="done_cos_100_max" sheetId="4" r:id="rId6"/>
    <sheet name="done_ext_100_512" sheetId="3" r:id="rId7"/>
    <sheet name="done_cos_100_512" sheetId="2" r:id="rId8"/>
  </sheets>
  <definedNames>
    <definedName name="DaneZewnętrzne_1" localSheetId="7" hidden="1">done_cos_100_512!$A$1:$AF$51</definedName>
    <definedName name="DaneZewnętrzne_2" localSheetId="6" hidden="1">done_ext_100_512!$A$1:$AF$51</definedName>
    <definedName name="DaneZewnętrzne_3" localSheetId="5" hidden="1">done_cos_100_max!$A$1:$AF$51</definedName>
    <definedName name="DaneZewnętrzne_4" localSheetId="4" hidden="1">done_ext_100_max!$A$1:$AF$51</definedName>
    <definedName name="DaneZewnętrzne_5" localSheetId="3" hidden="1">done_cos_max_512!$A$1:$AF$51</definedName>
    <definedName name="DaneZewnętrzne_6" localSheetId="2" hidden="1">done_ext_max_512!$A$1:$AF$51</definedName>
    <definedName name="DaneZewnętrzne_7" localSheetId="1" hidden="1">done_cos_max_max!$A$1:$BB$51</definedName>
    <definedName name="DaneZewnętrzne_8" localSheetId="0" hidden="1">ext_max_max!$A$1:$BB$51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53" i="9" l="1"/>
  <c r="P54" i="9" s="1"/>
  <c r="O53" i="9"/>
  <c r="O54" i="9" s="1"/>
  <c r="N53" i="9"/>
  <c r="N54" i="9" s="1"/>
  <c r="M53" i="9"/>
  <c r="M54" i="9" s="1"/>
  <c r="L53" i="9"/>
  <c r="L54" i="9" s="1"/>
  <c r="K53" i="9"/>
  <c r="K54" i="9" s="1"/>
  <c r="J53" i="9"/>
  <c r="J54" i="9" s="1"/>
  <c r="I53" i="9"/>
  <c r="I54" i="9" s="1"/>
  <c r="H53" i="9"/>
  <c r="H54" i="9" s="1"/>
  <c r="G53" i="9"/>
  <c r="G54" i="9" s="1"/>
  <c r="F53" i="9"/>
  <c r="F54" i="9" s="1"/>
  <c r="E53" i="9"/>
  <c r="E54" i="9" s="1"/>
  <c r="D53" i="9"/>
  <c r="D54" i="9" s="1"/>
  <c r="C53" i="9"/>
  <c r="C54" i="9" s="1"/>
  <c r="B53" i="9"/>
  <c r="B54" i="9" s="1"/>
  <c r="A53" i="9"/>
  <c r="A54" i="9" s="1"/>
  <c r="P52" i="9"/>
  <c r="O52" i="9"/>
  <c r="N52" i="9"/>
  <c r="M52" i="9"/>
  <c r="L52" i="9"/>
  <c r="K52" i="9"/>
  <c r="J52" i="9"/>
  <c r="I52" i="9"/>
  <c r="H52" i="9"/>
  <c r="G52" i="9"/>
  <c r="F52" i="9"/>
  <c r="E52" i="9"/>
  <c r="D52" i="9"/>
  <c r="C52" i="9"/>
  <c r="B52" i="9"/>
  <c r="A52" i="9"/>
  <c r="A53" i="2"/>
  <c r="B53" i="2"/>
  <c r="C53" i="2"/>
  <c r="D53" i="2"/>
  <c r="E53" i="2"/>
  <c r="F53" i="2"/>
  <c r="G53" i="2"/>
  <c r="H53" i="2"/>
  <c r="H54" i="2" s="1"/>
  <c r="I53" i="2"/>
  <c r="J53" i="2"/>
  <c r="K53" i="2"/>
  <c r="L53" i="2"/>
  <c r="M53" i="2"/>
  <c r="N53" i="2"/>
  <c r="O53" i="2"/>
  <c r="P53" i="2"/>
  <c r="P54" i="2" s="1"/>
  <c r="Q53" i="2"/>
  <c r="R53" i="2"/>
  <c r="S53" i="2"/>
  <c r="T53" i="2"/>
  <c r="U53" i="2"/>
  <c r="V53" i="2"/>
  <c r="W53" i="2"/>
  <c r="X53" i="2"/>
  <c r="X54" i="2" s="1"/>
  <c r="Y53" i="2"/>
  <c r="Z53" i="2"/>
  <c r="AA53" i="2"/>
  <c r="AB53" i="2"/>
  <c r="AC53" i="2"/>
  <c r="AD53" i="2"/>
  <c r="AE53" i="2"/>
  <c r="A54" i="2"/>
  <c r="B54" i="2"/>
  <c r="C54" i="2"/>
  <c r="D54" i="2"/>
  <c r="E54" i="2"/>
  <c r="F54" i="2"/>
  <c r="G54" i="2"/>
  <c r="I54" i="2"/>
  <c r="J54" i="2"/>
  <c r="K54" i="2"/>
  <c r="L54" i="2"/>
  <c r="M54" i="2"/>
  <c r="N54" i="2"/>
  <c r="O54" i="2"/>
  <c r="Q54" i="2"/>
  <c r="R54" i="2"/>
  <c r="S54" i="2"/>
  <c r="T54" i="2"/>
  <c r="U54" i="2"/>
  <c r="V54" i="2"/>
  <c r="W54" i="2"/>
  <c r="Y54" i="2"/>
  <c r="Z54" i="2"/>
  <c r="AA54" i="2"/>
  <c r="AB54" i="2"/>
  <c r="AC54" i="2"/>
  <c r="AD54" i="2"/>
  <c r="AE54" i="2"/>
  <c r="AF54" i="2"/>
  <c r="AF53" i="2"/>
  <c r="B52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AC52" i="2"/>
  <c r="AD52" i="2"/>
  <c r="AE52" i="2"/>
  <c r="AF52" i="2"/>
  <c r="A52" i="2"/>
  <c r="A53" i="3"/>
  <c r="B53" i="3"/>
  <c r="C53" i="3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X53" i="3"/>
  <c r="Y53" i="3"/>
  <c r="Z53" i="3"/>
  <c r="AA53" i="3"/>
  <c r="AB53" i="3"/>
  <c r="AC53" i="3"/>
  <c r="AD53" i="3"/>
  <c r="AE53" i="3"/>
  <c r="M54" i="3"/>
  <c r="AF53" i="3"/>
  <c r="B52" i="3"/>
  <c r="C52" i="3"/>
  <c r="D52" i="3"/>
  <c r="D54" i="3" s="1"/>
  <c r="E52" i="3"/>
  <c r="E54" i="3" s="1"/>
  <c r="F52" i="3"/>
  <c r="G52" i="3"/>
  <c r="H52" i="3"/>
  <c r="I52" i="3"/>
  <c r="I54" i="3" s="1"/>
  <c r="J52" i="3"/>
  <c r="K52" i="3"/>
  <c r="L52" i="3"/>
  <c r="L54" i="3" s="1"/>
  <c r="M52" i="3"/>
  <c r="N52" i="3"/>
  <c r="O52" i="3"/>
  <c r="P52" i="3"/>
  <c r="Q52" i="3"/>
  <c r="Q54" i="3" s="1"/>
  <c r="R52" i="3"/>
  <c r="S52" i="3"/>
  <c r="T52" i="3"/>
  <c r="T54" i="3" s="1"/>
  <c r="U52" i="3"/>
  <c r="U54" i="3" s="1"/>
  <c r="V52" i="3"/>
  <c r="W52" i="3"/>
  <c r="X52" i="3"/>
  <c r="Y52" i="3"/>
  <c r="Y54" i="3" s="1"/>
  <c r="Z52" i="3"/>
  <c r="AA52" i="3"/>
  <c r="AB52" i="3"/>
  <c r="AB54" i="3" s="1"/>
  <c r="AC52" i="3"/>
  <c r="AC54" i="3" s="1"/>
  <c r="AD52" i="3"/>
  <c r="AE52" i="3"/>
  <c r="AF52" i="3"/>
  <c r="A52" i="3"/>
  <c r="A54" i="3" s="1"/>
  <c r="A53" i="4"/>
  <c r="B53" i="4"/>
  <c r="C53" i="4"/>
  <c r="D53" i="4"/>
  <c r="E53" i="4"/>
  <c r="E54" i="4" s="1"/>
  <c r="F53" i="4"/>
  <c r="G53" i="4"/>
  <c r="H53" i="4"/>
  <c r="H54" i="4" s="1"/>
  <c r="I53" i="4"/>
  <c r="J53" i="4"/>
  <c r="K53" i="4"/>
  <c r="L53" i="4"/>
  <c r="M53" i="4"/>
  <c r="M54" i="4" s="1"/>
  <c r="N53" i="4"/>
  <c r="O53" i="4"/>
  <c r="P53" i="4"/>
  <c r="P54" i="4" s="1"/>
  <c r="Q53" i="4"/>
  <c r="R53" i="4"/>
  <c r="S53" i="4"/>
  <c r="T53" i="4"/>
  <c r="U53" i="4"/>
  <c r="U54" i="4" s="1"/>
  <c r="V53" i="4"/>
  <c r="V54" i="4" s="1"/>
  <c r="W53" i="4"/>
  <c r="X53" i="4"/>
  <c r="X54" i="4" s="1"/>
  <c r="Y53" i="4"/>
  <c r="Z53" i="4"/>
  <c r="AA53" i="4"/>
  <c r="AB53" i="4"/>
  <c r="AC53" i="4"/>
  <c r="AC54" i="4" s="1"/>
  <c r="AD53" i="4"/>
  <c r="AD54" i="4" s="1"/>
  <c r="AE53" i="4"/>
  <c r="A54" i="4"/>
  <c r="B54" i="4"/>
  <c r="C54" i="4"/>
  <c r="D54" i="4"/>
  <c r="F54" i="4"/>
  <c r="G54" i="4"/>
  <c r="I54" i="4"/>
  <c r="J54" i="4"/>
  <c r="K54" i="4"/>
  <c r="L54" i="4"/>
  <c r="N54" i="4"/>
  <c r="O54" i="4"/>
  <c r="Q54" i="4"/>
  <c r="R54" i="4"/>
  <c r="S54" i="4"/>
  <c r="T54" i="4"/>
  <c r="W54" i="4"/>
  <c r="Y54" i="4"/>
  <c r="Z54" i="4"/>
  <c r="AA54" i="4"/>
  <c r="AB54" i="4"/>
  <c r="AE54" i="4"/>
  <c r="AF54" i="4"/>
  <c r="AF53" i="4"/>
  <c r="B52" i="4"/>
  <c r="C52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S52" i="4"/>
  <c r="T52" i="4"/>
  <c r="U52" i="4"/>
  <c r="V52" i="4"/>
  <c r="W52" i="4"/>
  <c r="X52" i="4"/>
  <c r="Y52" i="4"/>
  <c r="Z52" i="4"/>
  <c r="AA52" i="4"/>
  <c r="AB52" i="4"/>
  <c r="AC52" i="4"/>
  <c r="AD52" i="4"/>
  <c r="AE52" i="4"/>
  <c r="AF52" i="4"/>
  <c r="A52" i="4"/>
  <c r="B53" i="5"/>
  <c r="C53" i="5"/>
  <c r="D53" i="5"/>
  <c r="E53" i="5"/>
  <c r="F53" i="5"/>
  <c r="G53" i="5"/>
  <c r="H53" i="5"/>
  <c r="H54" i="5" s="1"/>
  <c r="I53" i="5"/>
  <c r="I54" i="5" s="1"/>
  <c r="J53" i="5"/>
  <c r="K53" i="5"/>
  <c r="L53" i="5"/>
  <c r="M53" i="5"/>
  <c r="N53" i="5"/>
  <c r="O53" i="5"/>
  <c r="P53" i="5"/>
  <c r="P54" i="5" s="1"/>
  <c r="Q53" i="5"/>
  <c r="Q54" i="5" s="1"/>
  <c r="R53" i="5"/>
  <c r="S53" i="5"/>
  <c r="T53" i="5"/>
  <c r="U53" i="5"/>
  <c r="V53" i="5"/>
  <c r="W53" i="5"/>
  <c r="X53" i="5"/>
  <c r="X54" i="5" s="1"/>
  <c r="Y53" i="5"/>
  <c r="Y54" i="5" s="1"/>
  <c r="Z53" i="5"/>
  <c r="AA53" i="5"/>
  <c r="AB53" i="5"/>
  <c r="AC53" i="5"/>
  <c r="AD53" i="5"/>
  <c r="AE53" i="5"/>
  <c r="AF53" i="5"/>
  <c r="AF54" i="5" s="1"/>
  <c r="B54" i="5"/>
  <c r="C54" i="5"/>
  <c r="D54" i="5"/>
  <c r="E54" i="5"/>
  <c r="F54" i="5"/>
  <c r="G54" i="5"/>
  <c r="J54" i="5"/>
  <c r="K54" i="5"/>
  <c r="L54" i="5"/>
  <c r="M54" i="5"/>
  <c r="N54" i="5"/>
  <c r="O54" i="5"/>
  <c r="R54" i="5"/>
  <c r="S54" i="5"/>
  <c r="T54" i="5"/>
  <c r="U54" i="5"/>
  <c r="V54" i="5"/>
  <c r="W54" i="5"/>
  <c r="Z54" i="5"/>
  <c r="AA54" i="5"/>
  <c r="AB54" i="5"/>
  <c r="AC54" i="5"/>
  <c r="AD54" i="5"/>
  <c r="AE54" i="5"/>
  <c r="A54" i="5"/>
  <c r="A53" i="5"/>
  <c r="B52" i="5"/>
  <c r="C52" i="5"/>
  <c r="D52" i="5"/>
  <c r="E52" i="5"/>
  <c r="F52" i="5"/>
  <c r="G52" i="5"/>
  <c r="H52" i="5"/>
  <c r="I52" i="5"/>
  <c r="J52" i="5"/>
  <c r="K52" i="5"/>
  <c r="L52" i="5"/>
  <c r="M52" i="5"/>
  <c r="N52" i="5"/>
  <c r="O52" i="5"/>
  <c r="P52" i="5"/>
  <c r="Q52" i="5"/>
  <c r="R52" i="5"/>
  <c r="S52" i="5"/>
  <c r="T52" i="5"/>
  <c r="U52" i="5"/>
  <c r="V52" i="5"/>
  <c r="W52" i="5"/>
  <c r="X52" i="5"/>
  <c r="Y52" i="5"/>
  <c r="Z52" i="5"/>
  <c r="AA52" i="5"/>
  <c r="AB52" i="5"/>
  <c r="AC52" i="5"/>
  <c r="AD52" i="5"/>
  <c r="AE52" i="5"/>
  <c r="AF52" i="5"/>
  <c r="A52" i="5"/>
  <c r="Q54" i="6"/>
  <c r="Q53" i="6"/>
  <c r="A53" i="6"/>
  <c r="A54" i="6" s="1"/>
  <c r="B53" i="6"/>
  <c r="C53" i="6"/>
  <c r="D53" i="6"/>
  <c r="E53" i="6"/>
  <c r="F53" i="6"/>
  <c r="G53" i="6"/>
  <c r="G54" i="6" s="1"/>
  <c r="H53" i="6"/>
  <c r="I53" i="6"/>
  <c r="I54" i="6" s="1"/>
  <c r="J53" i="6"/>
  <c r="K53" i="6"/>
  <c r="L53" i="6"/>
  <c r="M53" i="6"/>
  <c r="N53" i="6"/>
  <c r="O53" i="6"/>
  <c r="O54" i="6" s="1"/>
  <c r="P53" i="6"/>
  <c r="R53" i="6"/>
  <c r="R54" i="6" s="1"/>
  <c r="S53" i="6"/>
  <c r="T53" i="6"/>
  <c r="U53" i="6"/>
  <c r="V53" i="6"/>
  <c r="W53" i="6"/>
  <c r="W54" i="6" s="1"/>
  <c r="X53" i="6"/>
  <c r="Y53" i="6"/>
  <c r="Y54" i="6" s="1"/>
  <c r="Z53" i="6"/>
  <c r="Z54" i="6" s="1"/>
  <c r="AA53" i="6"/>
  <c r="AB53" i="6"/>
  <c r="AC53" i="6"/>
  <c r="AD53" i="6"/>
  <c r="AE53" i="6"/>
  <c r="AE54" i="6" s="1"/>
  <c r="B54" i="6"/>
  <c r="C54" i="6"/>
  <c r="D54" i="6"/>
  <c r="E54" i="6"/>
  <c r="F54" i="6"/>
  <c r="H54" i="6"/>
  <c r="J54" i="6"/>
  <c r="K54" i="6"/>
  <c r="L54" i="6"/>
  <c r="M54" i="6"/>
  <c r="N54" i="6"/>
  <c r="P54" i="6"/>
  <c r="S54" i="6"/>
  <c r="T54" i="6"/>
  <c r="U54" i="6"/>
  <c r="V54" i="6"/>
  <c r="X54" i="6"/>
  <c r="AA54" i="6"/>
  <c r="AB54" i="6"/>
  <c r="AC54" i="6"/>
  <c r="AD54" i="6"/>
  <c r="AF54" i="6"/>
  <c r="AF53" i="6"/>
  <c r="B52" i="6"/>
  <c r="C52" i="6"/>
  <c r="D52" i="6"/>
  <c r="E52" i="6"/>
  <c r="F52" i="6"/>
  <c r="G52" i="6"/>
  <c r="H52" i="6"/>
  <c r="I52" i="6"/>
  <c r="J52" i="6"/>
  <c r="K52" i="6"/>
  <c r="L52" i="6"/>
  <c r="M52" i="6"/>
  <c r="N52" i="6"/>
  <c r="O52" i="6"/>
  <c r="P52" i="6"/>
  <c r="Q52" i="6"/>
  <c r="R52" i="6"/>
  <c r="S52" i="6"/>
  <c r="T52" i="6"/>
  <c r="U52" i="6"/>
  <c r="V52" i="6"/>
  <c r="W52" i="6"/>
  <c r="X52" i="6"/>
  <c r="Y52" i="6"/>
  <c r="Z52" i="6"/>
  <c r="AA52" i="6"/>
  <c r="AB52" i="6"/>
  <c r="AC52" i="6"/>
  <c r="AD52" i="6"/>
  <c r="AE52" i="6"/>
  <c r="AF52" i="6"/>
  <c r="A52" i="6"/>
  <c r="B53" i="7"/>
  <c r="C53" i="7"/>
  <c r="C54" i="7" s="1"/>
  <c r="D53" i="7"/>
  <c r="E53" i="7"/>
  <c r="F53" i="7"/>
  <c r="F54" i="7" s="1"/>
  <c r="G53" i="7"/>
  <c r="G54" i="7" s="1"/>
  <c r="H53" i="7"/>
  <c r="I53" i="7"/>
  <c r="I54" i="7" s="1"/>
  <c r="J53" i="7"/>
  <c r="K53" i="7"/>
  <c r="K54" i="7" s="1"/>
  <c r="L53" i="7"/>
  <c r="M53" i="7"/>
  <c r="N53" i="7"/>
  <c r="N54" i="7" s="1"/>
  <c r="O53" i="7"/>
  <c r="O54" i="7" s="1"/>
  <c r="P53" i="7"/>
  <c r="Q53" i="7"/>
  <c r="Q54" i="7" s="1"/>
  <c r="R53" i="7"/>
  <c r="S53" i="7"/>
  <c r="S54" i="7" s="1"/>
  <c r="T53" i="7"/>
  <c r="U53" i="7"/>
  <c r="V53" i="7"/>
  <c r="V54" i="7" s="1"/>
  <c r="W53" i="7"/>
  <c r="W54" i="7" s="1"/>
  <c r="X53" i="7"/>
  <c r="Y53" i="7"/>
  <c r="Y54" i="7" s="1"/>
  <c r="Z53" i="7"/>
  <c r="Z54" i="7" s="1"/>
  <c r="AA53" i="7"/>
  <c r="AA54" i="7" s="1"/>
  <c r="AB53" i="7"/>
  <c r="AC53" i="7"/>
  <c r="AD53" i="7"/>
  <c r="AD54" i="7" s="1"/>
  <c r="AE53" i="7"/>
  <c r="AE54" i="7" s="1"/>
  <c r="AF53" i="7"/>
  <c r="B54" i="7"/>
  <c r="D54" i="7"/>
  <c r="E54" i="7"/>
  <c r="H54" i="7"/>
  <c r="J54" i="7"/>
  <c r="L54" i="7"/>
  <c r="M54" i="7"/>
  <c r="P54" i="7"/>
  <c r="R54" i="7"/>
  <c r="T54" i="7"/>
  <c r="U54" i="7"/>
  <c r="X54" i="7"/>
  <c r="AB54" i="7"/>
  <c r="AC54" i="7"/>
  <c r="AF54" i="7"/>
  <c r="A54" i="7"/>
  <c r="A53" i="7"/>
  <c r="B52" i="7"/>
  <c r="C52" i="7"/>
  <c r="D52" i="7"/>
  <c r="E52" i="7"/>
  <c r="F52" i="7"/>
  <c r="G52" i="7"/>
  <c r="H52" i="7"/>
  <c r="I52" i="7"/>
  <c r="J52" i="7"/>
  <c r="K52" i="7"/>
  <c r="L52" i="7"/>
  <c r="M52" i="7"/>
  <c r="N52" i="7"/>
  <c r="O52" i="7"/>
  <c r="P52" i="7"/>
  <c r="Q52" i="7"/>
  <c r="R52" i="7"/>
  <c r="S52" i="7"/>
  <c r="T52" i="7"/>
  <c r="U52" i="7"/>
  <c r="V52" i="7"/>
  <c r="W52" i="7"/>
  <c r="X52" i="7"/>
  <c r="Y52" i="7"/>
  <c r="Z52" i="7"/>
  <c r="AA52" i="7"/>
  <c r="AB52" i="7"/>
  <c r="AC52" i="7"/>
  <c r="AD52" i="7"/>
  <c r="AE52" i="7"/>
  <c r="AF52" i="7"/>
  <c r="A52" i="7"/>
  <c r="B53" i="8"/>
  <c r="B54" i="8" s="1"/>
  <c r="C53" i="8"/>
  <c r="D53" i="8"/>
  <c r="E53" i="8"/>
  <c r="F53" i="8"/>
  <c r="F54" i="8" s="1"/>
  <c r="G53" i="8"/>
  <c r="H53" i="8"/>
  <c r="I53" i="8"/>
  <c r="J53" i="8"/>
  <c r="J54" i="8" s="1"/>
  <c r="K53" i="8"/>
  <c r="L53" i="8"/>
  <c r="M53" i="8"/>
  <c r="N53" i="8"/>
  <c r="N54" i="8" s="1"/>
  <c r="O53" i="8"/>
  <c r="P53" i="8"/>
  <c r="Q53" i="8"/>
  <c r="R53" i="8"/>
  <c r="R54" i="8" s="1"/>
  <c r="S53" i="8"/>
  <c r="T53" i="8"/>
  <c r="U53" i="8"/>
  <c r="V53" i="8"/>
  <c r="V54" i="8" s="1"/>
  <c r="W53" i="8"/>
  <c r="X53" i="8"/>
  <c r="Y53" i="8"/>
  <c r="Y54" i="8" s="1"/>
  <c r="Z53" i="8"/>
  <c r="Z54" i="8" s="1"/>
  <c r="AA53" i="8"/>
  <c r="AB53" i="8"/>
  <c r="AC53" i="8"/>
  <c r="AD53" i="8"/>
  <c r="AD54" i="8" s="1"/>
  <c r="AE53" i="8"/>
  <c r="AF53" i="8"/>
  <c r="AG53" i="8"/>
  <c r="AG54" i="8" s="1"/>
  <c r="AH53" i="8"/>
  <c r="AH54" i="8" s="1"/>
  <c r="AI53" i="8"/>
  <c r="AJ53" i="8"/>
  <c r="AK53" i="8"/>
  <c r="AL53" i="8"/>
  <c r="AL54" i="8" s="1"/>
  <c r="AM53" i="8"/>
  <c r="AN53" i="8"/>
  <c r="AO53" i="8"/>
  <c r="AO54" i="8" s="1"/>
  <c r="AP53" i="8"/>
  <c r="AP54" i="8" s="1"/>
  <c r="AQ53" i="8"/>
  <c r="AR53" i="8"/>
  <c r="AS53" i="8"/>
  <c r="AT53" i="8"/>
  <c r="AT54" i="8" s="1"/>
  <c r="AU53" i="8"/>
  <c r="AV53" i="8"/>
  <c r="AW53" i="8"/>
  <c r="AW54" i="8" s="1"/>
  <c r="AX53" i="8"/>
  <c r="AX54" i="8" s="1"/>
  <c r="AY53" i="8"/>
  <c r="AZ53" i="8"/>
  <c r="BA53" i="8"/>
  <c r="BB53" i="8"/>
  <c r="BB54" i="8" s="1"/>
  <c r="C54" i="8"/>
  <c r="D54" i="8"/>
  <c r="E54" i="8"/>
  <c r="G54" i="8"/>
  <c r="H54" i="8"/>
  <c r="I54" i="8"/>
  <c r="K54" i="8"/>
  <c r="L54" i="8"/>
  <c r="M54" i="8"/>
  <c r="O54" i="8"/>
  <c r="P54" i="8"/>
  <c r="Q54" i="8"/>
  <c r="S54" i="8"/>
  <c r="T54" i="8"/>
  <c r="U54" i="8"/>
  <c r="W54" i="8"/>
  <c r="X54" i="8"/>
  <c r="AA54" i="8"/>
  <c r="AB54" i="8"/>
  <c r="AC54" i="8"/>
  <c r="AE54" i="8"/>
  <c r="AF54" i="8"/>
  <c r="AI54" i="8"/>
  <c r="AJ54" i="8"/>
  <c r="AK54" i="8"/>
  <c r="AM54" i="8"/>
  <c r="AN54" i="8"/>
  <c r="AQ54" i="8"/>
  <c r="AR54" i="8"/>
  <c r="AS54" i="8"/>
  <c r="AU54" i="8"/>
  <c r="AV54" i="8"/>
  <c r="AY54" i="8"/>
  <c r="AZ54" i="8"/>
  <c r="BA54" i="8"/>
  <c r="BB52" i="8"/>
  <c r="B52" i="8"/>
  <c r="C52" i="8"/>
  <c r="D52" i="8"/>
  <c r="E52" i="8"/>
  <c r="F52" i="8"/>
  <c r="G52" i="8"/>
  <c r="H52" i="8"/>
  <c r="I52" i="8"/>
  <c r="J52" i="8"/>
  <c r="K52" i="8"/>
  <c r="L52" i="8"/>
  <c r="M52" i="8"/>
  <c r="N52" i="8"/>
  <c r="O52" i="8"/>
  <c r="P52" i="8"/>
  <c r="Q52" i="8"/>
  <c r="R52" i="8"/>
  <c r="S52" i="8"/>
  <c r="T52" i="8"/>
  <c r="U52" i="8"/>
  <c r="V52" i="8"/>
  <c r="W52" i="8"/>
  <c r="X52" i="8"/>
  <c r="Y52" i="8"/>
  <c r="Z52" i="8"/>
  <c r="AA52" i="8"/>
  <c r="AB52" i="8"/>
  <c r="AC52" i="8"/>
  <c r="AD52" i="8"/>
  <c r="AE52" i="8"/>
  <c r="AF52" i="8"/>
  <c r="AG52" i="8"/>
  <c r="AH52" i="8"/>
  <c r="AI52" i="8"/>
  <c r="AJ52" i="8"/>
  <c r="AK52" i="8"/>
  <c r="AL52" i="8"/>
  <c r="AM52" i="8"/>
  <c r="AN52" i="8"/>
  <c r="AO52" i="8"/>
  <c r="AP52" i="8"/>
  <c r="AQ52" i="8"/>
  <c r="AR52" i="8"/>
  <c r="AS52" i="8"/>
  <c r="AT52" i="8"/>
  <c r="AU52" i="8"/>
  <c r="AV52" i="8"/>
  <c r="AW52" i="8"/>
  <c r="AX52" i="8"/>
  <c r="AY52" i="8"/>
  <c r="AZ52" i="8"/>
  <c r="BA52" i="8"/>
  <c r="A54" i="8"/>
  <c r="A53" i="8"/>
  <c r="A52" i="8"/>
  <c r="Q53" i="9"/>
  <c r="R53" i="9"/>
  <c r="S53" i="9"/>
  <c r="T53" i="9"/>
  <c r="T54" i="9" s="1"/>
  <c r="U53" i="9"/>
  <c r="V53" i="9"/>
  <c r="W53" i="9"/>
  <c r="X53" i="9"/>
  <c r="X54" i="9" s="1"/>
  <c r="Y53" i="9"/>
  <c r="Z53" i="9"/>
  <c r="AA53" i="9"/>
  <c r="AB53" i="9"/>
  <c r="AB54" i="9" s="1"/>
  <c r="AC53" i="9"/>
  <c r="AD53" i="9"/>
  <c r="AE53" i="9"/>
  <c r="AF53" i="9"/>
  <c r="AF54" i="9" s="1"/>
  <c r="AG53" i="9"/>
  <c r="AH53" i="9"/>
  <c r="AI53" i="9"/>
  <c r="AJ53" i="9"/>
  <c r="AJ54" i="9" s="1"/>
  <c r="AK53" i="9"/>
  <c r="AL53" i="9"/>
  <c r="AM53" i="9"/>
  <c r="AN53" i="9"/>
  <c r="AN54" i="9" s="1"/>
  <c r="AO53" i="9"/>
  <c r="AP53" i="9"/>
  <c r="AQ53" i="9"/>
  <c r="AR53" i="9"/>
  <c r="AR54" i="9" s="1"/>
  <c r="AS53" i="9"/>
  <c r="AT53" i="9"/>
  <c r="AU53" i="9"/>
  <c r="AV53" i="9"/>
  <c r="AV54" i="9" s="1"/>
  <c r="AW53" i="9"/>
  <c r="AX53" i="9"/>
  <c r="AY53" i="9"/>
  <c r="AZ53" i="9"/>
  <c r="AZ54" i="9" s="1"/>
  <c r="BA53" i="9"/>
  <c r="BB53" i="9"/>
  <c r="Q52" i="9"/>
  <c r="R52" i="9"/>
  <c r="S52" i="9"/>
  <c r="T52" i="9"/>
  <c r="U52" i="9"/>
  <c r="V52" i="9"/>
  <c r="W52" i="9"/>
  <c r="X52" i="9"/>
  <c r="Y52" i="9"/>
  <c r="Z52" i="9"/>
  <c r="AA52" i="9"/>
  <c r="AB52" i="9"/>
  <c r="AC52" i="9"/>
  <c r="AD52" i="9"/>
  <c r="AE52" i="9"/>
  <c r="AF52" i="9"/>
  <c r="AG52" i="9"/>
  <c r="AH52" i="9"/>
  <c r="AI52" i="9"/>
  <c r="AJ52" i="9"/>
  <c r="AK52" i="9"/>
  <c r="AL52" i="9"/>
  <c r="AM52" i="9"/>
  <c r="AN52" i="9"/>
  <c r="AO52" i="9"/>
  <c r="AP52" i="9"/>
  <c r="AQ52" i="9"/>
  <c r="AR52" i="9"/>
  <c r="AS52" i="9"/>
  <c r="AT52" i="9"/>
  <c r="AU52" i="9"/>
  <c r="AV52" i="9"/>
  <c r="AW52" i="9"/>
  <c r="AX52" i="9"/>
  <c r="AY52" i="9"/>
  <c r="AZ52" i="9"/>
  <c r="BA52" i="9"/>
  <c r="BB52" i="9"/>
  <c r="AY54" i="9" l="1"/>
  <c r="AQ54" i="9"/>
  <c r="AI54" i="9"/>
  <c r="AA54" i="9"/>
  <c r="S54" i="9"/>
  <c r="AX54" i="9"/>
  <c r="AP54" i="9"/>
  <c r="AH54" i="9"/>
  <c r="Z54" i="9"/>
  <c r="R54" i="9"/>
  <c r="AW54" i="9"/>
  <c r="AO54" i="9"/>
  <c r="AG54" i="9"/>
  <c r="Y54" i="9"/>
  <c r="Q54" i="9"/>
  <c r="AU54" i="9"/>
  <c r="AM54" i="9"/>
  <c r="AE54" i="9"/>
  <c r="W54" i="9"/>
  <c r="BB54" i="9"/>
  <c r="AT54" i="9"/>
  <c r="AL54" i="9"/>
  <c r="AD54" i="9"/>
  <c r="V54" i="9"/>
  <c r="BA54" i="9"/>
  <c r="AS54" i="9"/>
  <c r="AK54" i="9"/>
  <c r="AC54" i="9"/>
  <c r="U54" i="9"/>
  <c r="R54" i="3"/>
  <c r="J54" i="3"/>
  <c r="B54" i="3"/>
  <c r="AF54" i="3"/>
  <c r="X54" i="3"/>
  <c r="P54" i="3"/>
  <c r="H54" i="3"/>
  <c r="Z54" i="3"/>
  <c r="AA54" i="3"/>
  <c r="S54" i="3"/>
  <c r="K54" i="3"/>
  <c r="C54" i="3"/>
  <c r="AE54" i="3"/>
  <c r="W54" i="3"/>
  <c r="O54" i="3"/>
  <c r="G54" i="3"/>
  <c r="AD54" i="3"/>
  <c r="V54" i="3"/>
  <c r="N54" i="3"/>
  <c r="F54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BDD9D4E-F863-4BFA-B36E-506076D64C6E}" keepAlive="1" name="Zapytanie — x" description="Połączenie z zapytaniem „x” w skoroszycie." type="5" refreshedVersion="6" background="1" saveData="1">
    <dbPr connection="Provider=Microsoft.Mashup.OleDb.1;Data Source=$Workbook$;Location=x;Extended Properties=&quot;&quot;" command="SELECT * FROM [x]"/>
  </connection>
  <connection id="2" xr16:uid="{C614D39D-9E47-493A-8612-05A70E2E8BC3}" keepAlive="1" name="Zapytanie — x (2)" description="Połączenie z zapytaniem „x (2)” w skoroszycie." type="5" refreshedVersion="6" background="1" saveData="1">
    <dbPr connection="Provider=Microsoft.Mashup.OleDb.1;Data Source=$Workbook$;Location=&quot;x (2)&quot;;Extended Properties=&quot;&quot;" command="SELECT * FROM [x (2)]"/>
  </connection>
  <connection id="3" xr16:uid="{DD7A12C0-F06B-414E-9149-16A8E42CF638}" keepAlive="1" name="Zapytanie — x (3)" description="Połączenie z zapytaniem „x (3)” w skoroszycie." type="5" refreshedVersion="6" background="1" saveData="1">
    <dbPr connection="Provider=Microsoft.Mashup.OleDb.1;Data Source=$Workbook$;Location=&quot;x (3)&quot;;Extended Properties=&quot;&quot;" command="SELECT * FROM [x (3)]"/>
  </connection>
  <connection id="4" xr16:uid="{F44D0EB9-638C-4B9A-A90F-13E34A73AE49}" keepAlive="1" name="Zapytanie — x (4)" description="Połączenie z zapytaniem „x (4)” w skoroszycie." type="5" refreshedVersion="6" background="1" saveData="1">
    <dbPr connection="Provider=Microsoft.Mashup.OleDb.1;Data Source=$Workbook$;Location=&quot;x (4)&quot;;Extended Properties=&quot;&quot;" command="SELECT * FROM [x (4)]"/>
  </connection>
  <connection id="5" xr16:uid="{220B61D6-0F1E-49A1-A5D9-70682FD7AC05}" keepAlive="1" name="Zapytanie — x (5)" description="Połączenie z zapytaniem „x (5)” w skoroszycie." type="5" refreshedVersion="6" background="1" saveData="1">
    <dbPr connection="Provider=Microsoft.Mashup.OleDb.1;Data Source=$Workbook$;Location=&quot;x (5)&quot;;Extended Properties=&quot;&quot;" command="SELECT * FROM [x (5)]"/>
  </connection>
  <connection id="6" xr16:uid="{57632F9D-1B47-48B7-9B64-96169C085A1F}" keepAlive="1" name="Zapytanie — x (6)" description="Połączenie z zapytaniem „x (6)” w skoroszycie." type="5" refreshedVersion="6" background="1" saveData="1">
    <dbPr connection="Provider=Microsoft.Mashup.OleDb.1;Data Source=$Workbook$;Location=&quot;x (6)&quot;;Extended Properties=&quot;&quot;" command="SELECT * FROM [x (6)]"/>
  </connection>
  <connection id="7" xr16:uid="{2A75F1D0-C88E-48C1-8A90-A913F311F13D}" keepAlive="1" name="Zapytanie — x (7)" description="Połączenie z zapytaniem „x (7)” w skoroszycie." type="5" refreshedVersion="6" background="1">
    <dbPr connection="Provider=Microsoft.Mashup.OleDb.1;Data Source=$Workbook$;Location=&quot;x (7)&quot;;Extended Properties=&quot;&quot;" command="SELECT * FROM [x (7)]"/>
  </connection>
  <connection id="8" xr16:uid="{7BF7A39B-1DD2-4035-9AAA-B8C890B32F3D}" keepAlive="1" name="Zapytanie — x (8)" description="Połączenie z zapytaniem „x (8)” w skoroszycie." type="5" refreshedVersion="6" background="1" saveData="1">
    <dbPr connection="Provider=Microsoft.Mashup.OleDb.1;Data Source=$Workbook$;Location=&quot;x (8)&quot;;Extended Properties=&quot;&quot;" command="SELECT * FROM [x (8)]"/>
  </connection>
  <connection id="9" xr16:uid="{FC23B801-FF6D-4188-97A0-36FEBC483E1B}" keepAlive="1" name="Zapytanie — x (9)" description="Połączenie z zapytaniem „x (9)” w skoroszycie." type="5" refreshedVersion="6" background="1" saveData="1">
    <dbPr connection="Provider=Microsoft.Mashup.OleDb.1;Data Source=$Workbook$;Location=&quot;x (9)&quot;;Extended Properties=&quot;&quot;" command="SELECT * FROM [x (9)]"/>
  </connection>
</connections>
</file>

<file path=xl/sharedStrings.xml><?xml version="1.0" encoding="utf-8"?>
<sst xmlns="http://schemas.openxmlformats.org/spreadsheetml/2006/main" count="300" uniqueCount="54">
  <si>
    <t>minMaxPar_50_15.txt</t>
  </si>
  <si>
    <t>minMaxPar_50_16.txt</t>
  </si>
  <si>
    <t>minMaxPar_50_17.txt</t>
  </si>
  <si>
    <t>minMaxPar_50_18.txt</t>
  </si>
  <si>
    <t>minMaxPar_50_19.txt</t>
  </si>
  <si>
    <t>minMaxPar_50_20.txt</t>
  </si>
  <si>
    <t>minMaxPar_50_21.txt</t>
  </si>
  <si>
    <t>minMaxPar_50_22.txt</t>
  </si>
  <si>
    <t>minMaxPar_50_23.txt</t>
  </si>
  <si>
    <t>minMaxPar_50_24.txt</t>
  </si>
  <si>
    <t>minMaxPar_50_25.txt</t>
  </si>
  <si>
    <t>minMaxPar_50_26.txt</t>
  </si>
  <si>
    <t>minMaxPar_50_27.txt</t>
  </si>
  <si>
    <t>minMaxPar_50_28.txt</t>
  </si>
  <si>
    <t>minMaxPar_50_29.txt</t>
  </si>
  <si>
    <t>minMaxPar_50_30.txt</t>
  </si>
  <si>
    <t>montePar_50_15.txt</t>
  </si>
  <si>
    <t>montePar_50_16.txt</t>
  </si>
  <si>
    <t>montePar_50_17.txt</t>
  </si>
  <si>
    <t>montePar_50_18.txt</t>
  </si>
  <si>
    <t>montePar_50_19.txt</t>
  </si>
  <si>
    <t>montePar_50_20.txt</t>
  </si>
  <si>
    <t>montePar_50_21.txt</t>
  </si>
  <si>
    <t>montePar_50_22.txt</t>
  </si>
  <si>
    <t>montePar_50_23.txt</t>
  </si>
  <si>
    <t>montePar_50_24.txt</t>
  </si>
  <si>
    <t>montePar_50_25.txt</t>
  </si>
  <si>
    <t>montePar_50_26.txt</t>
  </si>
  <si>
    <t>montePar_50_27.txt</t>
  </si>
  <si>
    <t>montePar_50_28.txt</t>
  </si>
  <si>
    <t>montePar_50_29.txt</t>
  </si>
  <si>
    <t>montePar_50_30.txt</t>
  </si>
  <si>
    <t>minMaxSeq_50_15.txt</t>
  </si>
  <si>
    <t>minMaxSeq_50_16.txt</t>
  </si>
  <si>
    <t>minMaxSeq_50_17.txt</t>
  </si>
  <si>
    <t>minMaxSeq_50_18.txt</t>
  </si>
  <si>
    <t>minMaxSeq_50_19.txt</t>
  </si>
  <si>
    <t>minMaxSeq_50_20.txt</t>
  </si>
  <si>
    <t>minMaxSeq_50_21.txt</t>
  </si>
  <si>
    <t>minMaxSeq_50_22.txt</t>
  </si>
  <si>
    <t>minMaxSeq_50_23.txt</t>
  </si>
  <si>
    <t>minMaxSeq_50_24.txt</t>
  </si>
  <si>
    <t>minMaxSeq_50_25.txt</t>
  </si>
  <si>
    <t>monteSeq_50_15.txt</t>
  </si>
  <si>
    <t>monteSeq_50_16.txt</t>
  </si>
  <si>
    <t>monteSeq_50_17.txt</t>
  </si>
  <si>
    <t>monteSeq_50_18.txt</t>
  </si>
  <si>
    <t>monteSeq_50_19.txt</t>
  </si>
  <si>
    <t>monteSeq_50_20.txt</t>
  </si>
  <si>
    <t>monteSeq_50_21.txt</t>
  </si>
  <si>
    <t>monteSeq_50_22.txt</t>
  </si>
  <si>
    <t>monteSeq_50_23.txt</t>
  </si>
  <si>
    <t>monteSeq_50_24.txt</t>
  </si>
  <si>
    <t>monteSeq_50_25.txt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</si>
</sst>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1" formatCode="0.000000000"/>
  </numFmts>
  <fonts count="2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0" fontId="0" fillId="0" borderId="0" xfId="0" applyNumberFormat="1"/>
    <xf numFmtId="171" fontId="0" fillId="0" borderId="0" xfId="0" applyNumberFormat="1"/>
    <xf numFmtId="10" fontId="0" fillId="0" borderId="0" xfId="1" applyNumberFormat="1" applyFont="1"/>
  </cellXfs>
  <cellStyles count="2">
    <cellStyle name="Normalny" xfId="0" builtinId="0"/>
    <cellStyle name="Procentowy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8" connectionId="9" xr16:uid="{9D7A25DF-FB8F-4018-8691-FA3C9E597959}" autoFormatId="16" applyNumberFormats="0" applyBorderFormats="0" applyFontFormats="0" applyPatternFormats="0" applyAlignmentFormats="0" applyWidthHeightFormats="0">
  <queryTableRefresh nextId="55">
    <queryTableFields count="54">
      <queryTableField id="1" name="minMaxPar_50_15.txt" tableColumnId="1"/>
      <queryTableField id="2" name="minMaxPar_50_16.txt" tableColumnId="2"/>
      <queryTableField id="3" name="minMaxPar_50_17.txt" tableColumnId="3"/>
      <queryTableField id="4" name="minMaxPar_50_18.txt" tableColumnId="4"/>
      <queryTableField id="5" name="minMaxPar_50_19.txt" tableColumnId="5"/>
      <queryTableField id="6" name="minMaxPar_50_20.txt" tableColumnId="6"/>
      <queryTableField id="7" name="minMaxPar_50_21.txt" tableColumnId="7"/>
      <queryTableField id="8" name="minMaxPar_50_22.txt" tableColumnId="8"/>
      <queryTableField id="9" name="minMaxPar_50_23.txt" tableColumnId="9"/>
      <queryTableField id="10" name="minMaxPar_50_24.txt" tableColumnId="10"/>
      <queryTableField id="11" name="minMaxPar_50_25.txt" tableColumnId="11"/>
      <queryTableField id="12" name="minMaxPar_50_26.txt" tableColumnId="12"/>
      <queryTableField id="13" name="minMaxPar_50_27.txt" tableColumnId="13"/>
      <queryTableField id="14" name="minMaxPar_50_28.txt" tableColumnId="14"/>
      <queryTableField id="15" name="minMaxPar_50_29.txt" tableColumnId="15"/>
      <queryTableField id="16" name="minMaxPar_50_30.txt" tableColumnId="16"/>
      <queryTableField id="17" name="minMaxSeq_50_15.txt" tableColumnId="17"/>
      <queryTableField id="18" name="minMaxSeq_50_16.txt" tableColumnId="18"/>
      <queryTableField id="19" name="minMaxSeq_50_17.txt" tableColumnId="19"/>
      <queryTableField id="20" name="minMaxSeq_50_18.txt" tableColumnId="20"/>
      <queryTableField id="21" name="minMaxSeq_50_19.txt" tableColumnId="21"/>
      <queryTableField id="22" name="minMaxSeq_50_20.txt" tableColumnId="22"/>
      <queryTableField id="23" name="minMaxSeq_50_21.txt" tableColumnId="23"/>
      <queryTableField id="24" name="minMaxSeq_50_22.txt" tableColumnId="24"/>
      <queryTableField id="25" name="minMaxSeq_50_23.txt" tableColumnId="25"/>
      <queryTableField id="26" name="minMaxSeq_50_24.txt" tableColumnId="26"/>
      <queryTableField id="27" name="minMaxSeq_50_25.txt" tableColumnId="27"/>
      <queryTableField id="28" name="montePar_50_15.txt" tableColumnId="28"/>
      <queryTableField id="29" name="montePar_50_16.txt" tableColumnId="29"/>
      <queryTableField id="30" name="montePar_50_17.txt" tableColumnId="30"/>
      <queryTableField id="31" name="montePar_50_18.txt" tableColumnId="31"/>
      <queryTableField id="32" name="montePar_50_19.txt" tableColumnId="32"/>
      <queryTableField id="33" name="montePar_50_20.txt" tableColumnId="33"/>
      <queryTableField id="34" name="montePar_50_21.txt" tableColumnId="34"/>
      <queryTableField id="35" name="montePar_50_22.txt" tableColumnId="35"/>
      <queryTableField id="36" name="montePar_50_23.txt" tableColumnId="36"/>
      <queryTableField id="37" name="montePar_50_24.txt" tableColumnId="37"/>
      <queryTableField id="38" name="montePar_50_25.txt" tableColumnId="38"/>
      <queryTableField id="39" name="montePar_50_26.txt" tableColumnId="39"/>
      <queryTableField id="40" name="montePar_50_27.txt" tableColumnId="40"/>
      <queryTableField id="41" name="montePar_50_28.txt" tableColumnId="41"/>
      <queryTableField id="42" name="montePar_50_29.txt" tableColumnId="42"/>
      <queryTableField id="43" name="montePar_50_30.txt" tableColumnId="43"/>
      <queryTableField id="44" name="monteSeq_50_15.txt" tableColumnId="44"/>
      <queryTableField id="45" name="monteSeq_50_16.txt" tableColumnId="45"/>
      <queryTableField id="46" name="monteSeq_50_17.txt" tableColumnId="46"/>
      <queryTableField id="47" name="monteSeq_50_18.txt" tableColumnId="47"/>
      <queryTableField id="48" name="monteSeq_50_19.txt" tableColumnId="48"/>
      <queryTableField id="49" name="monteSeq_50_20.txt" tableColumnId="49"/>
      <queryTableField id="50" name="monteSeq_50_21.txt" tableColumnId="50"/>
      <queryTableField id="51" name="monteSeq_50_22.txt" tableColumnId="51"/>
      <queryTableField id="52" name="monteSeq_50_23.txt" tableColumnId="52"/>
      <queryTableField id="53" name="monteSeq_50_24.txt" tableColumnId="53"/>
      <queryTableField id="54" name="monteSeq_50_25.txt" tableColumnId="5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7" connectionId="8" xr16:uid="{E6565D02-A7C4-4854-831D-4CC744949A5A}" autoFormatId="16" applyNumberFormats="0" applyBorderFormats="0" applyFontFormats="0" applyPatternFormats="0" applyAlignmentFormats="0" applyWidthHeightFormats="0">
  <queryTableRefresh nextId="55">
    <queryTableFields count="54">
      <queryTableField id="1" name="minMaxPar_50_15.txt" tableColumnId="1"/>
      <queryTableField id="2" name="minMaxPar_50_16.txt" tableColumnId="2"/>
      <queryTableField id="3" name="minMaxPar_50_17.txt" tableColumnId="3"/>
      <queryTableField id="4" name="minMaxPar_50_18.txt" tableColumnId="4"/>
      <queryTableField id="5" name="minMaxPar_50_19.txt" tableColumnId="5"/>
      <queryTableField id="6" name="minMaxPar_50_20.txt" tableColumnId="6"/>
      <queryTableField id="7" name="minMaxPar_50_21.txt" tableColumnId="7"/>
      <queryTableField id="8" name="minMaxPar_50_22.txt" tableColumnId="8"/>
      <queryTableField id="9" name="minMaxPar_50_23.txt" tableColumnId="9"/>
      <queryTableField id="10" name="minMaxPar_50_24.txt" tableColumnId="10"/>
      <queryTableField id="11" name="minMaxPar_50_25.txt" tableColumnId="11"/>
      <queryTableField id="12" name="minMaxPar_50_26.txt" tableColumnId="12"/>
      <queryTableField id="13" name="minMaxPar_50_27.txt" tableColumnId="13"/>
      <queryTableField id="14" name="minMaxPar_50_28.txt" tableColumnId="14"/>
      <queryTableField id="15" name="minMaxPar_50_29.txt" tableColumnId="15"/>
      <queryTableField id="16" name="minMaxPar_50_30.txt" tableColumnId="16"/>
      <queryTableField id="17" name="minMaxSeq_50_15.txt" tableColumnId="17"/>
      <queryTableField id="18" name="minMaxSeq_50_16.txt" tableColumnId="18"/>
      <queryTableField id="19" name="minMaxSeq_50_17.txt" tableColumnId="19"/>
      <queryTableField id="20" name="minMaxSeq_50_18.txt" tableColumnId="20"/>
      <queryTableField id="21" name="minMaxSeq_50_19.txt" tableColumnId="21"/>
      <queryTableField id="22" name="minMaxSeq_50_20.txt" tableColumnId="22"/>
      <queryTableField id="23" name="minMaxSeq_50_21.txt" tableColumnId="23"/>
      <queryTableField id="24" name="minMaxSeq_50_22.txt" tableColumnId="24"/>
      <queryTableField id="25" name="minMaxSeq_50_23.txt" tableColumnId="25"/>
      <queryTableField id="26" name="minMaxSeq_50_24.txt" tableColumnId="26"/>
      <queryTableField id="27" name="minMaxSeq_50_25.txt" tableColumnId="27"/>
      <queryTableField id="28" name="montePar_50_15.txt" tableColumnId="28"/>
      <queryTableField id="29" name="montePar_50_16.txt" tableColumnId="29"/>
      <queryTableField id="30" name="montePar_50_17.txt" tableColumnId="30"/>
      <queryTableField id="31" name="montePar_50_18.txt" tableColumnId="31"/>
      <queryTableField id="32" name="montePar_50_19.txt" tableColumnId="32"/>
      <queryTableField id="33" name="montePar_50_20.txt" tableColumnId="33"/>
      <queryTableField id="34" name="montePar_50_21.txt" tableColumnId="34"/>
      <queryTableField id="35" name="montePar_50_22.txt" tableColumnId="35"/>
      <queryTableField id="36" name="montePar_50_23.txt" tableColumnId="36"/>
      <queryTableField id="37" name="montePar_50_24.txt" tableColumnId="37"/>
      <queryTableField id="38" name="montePar_50_25.txt" tableColumnId="38"/>
      <queryTableField id="39" name="montePar_50_26.txt" tableColumnId="39"/>
      <queryTableField id="40" name="montePar_50_27.txt" tableColumnId="40"/>
      <queryTableField id="41" name="montePar_50_28.txt" tableColumnId="41"/>
      <queryTableField id="42" name="montePar_50_29.txt" tableColumnId="42"/>
      <queryTableField id="43" name="montePar_50_30.txt" tableColumnId="43"/>
      <queryTableField id="44" name="monteSeq_50_15.txt" tableColumnId="44"/>
      <queryTableField id="45" name="monteSeq_50_16.txt" tableColumnId="45"/>
      <queryTableField id="46" name="monteSeq_50_17.txt" tableColumnId="46"/>
      <queryTableField id="47" name="monteSeq_50_18.txt" tableColumnId="47"/>
      <queryTableField id="48" name="monteSeq_50_19.txt" tableColumnId="48"/>
      <queryTableField id="49" name="monteSeq_50_20.txt" tableColumnId="49"/>
      <queryTableField id="50" name="monteSeq_50_21.txt" tableColumnId="50"/>
      <queryTableField id="51" name="monteSeq_50_22.txt" tableColumnId="51"/>
      <queryTableField id="52" name="monteSeq_50_23.txt" tableColumnId="52"/>
      <queryTableField id="53" name="monteSeq_50_24.txt" tableColumnId="53"/>
      <queryTableField id="54" name="monteSeq_50_25.txt" tableColumnId="5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6" connectionId="6" xr16:uid="{E595FF6E-7672-4BEF-A036-00C5A1295A0B}" autoFormatId="16" applyNumberFormats="0" applyBorderFormats="0" applyFontFormats="0" applyPatternFormats="0" applyAlignmentFormats="0" applyWidthHeightFormats="0">
  <queryTableRefresh nextId="33">
    <queryTableFields count="32">
      <queryTableField id="1" name="minMaxPar_50_15.txt" tableColumnId="1"/>
      <queryTableField id="2" name="minMaxPar_50_16.txt" tableColumnId="2"/>
      <queryTableField id="3" name="minMaxPar_50_17.txt" tableColumnId="3"/>
      <queryTableField id="4" name="minMaxPar_50_18.txt" tableColumnId="4"/>
      <queryTableField id="5" name="minMaxPar_50_19.txt" tableColumnId="5"/>
      <queryTableField id="6" name="minMaxPar_50_20.txt" tableColumnId="6"/>
      <queryTableField id="7" name="minMaxPar_50_21.txt" tableColumnId="7"/>
      <queryTableField id="8" name="minMaxPar_50_22.txt" tableColumnId="8"/>
      <queryTableField id="9" name="minMaxPar_50_23.txt" tableColumnId="9"/>
      <queryTableField id="10" name="minMaxPar_50_24.txt" tableColumnId="10"/>
      <queryTableField id="11" name="minMaxPar_50_25.txt" tableColumnId="11"/>
      <queryTableField id="12" name="minMaxPar_50_26.txt" tableColumnId="12"/>
      <queryTableField id="13" name="minMaxPar_50_27.txt" tableColumnId="13"/>
      <queryTableField id="14" name="minMaxPar_50_28.txt" tableColumnId="14"/>
      <queryTableField id="15" name="minMaxPar_50_29.txt" tableColumnId="15"/>
      <queryTableField id="16" name="minMaxPar_50_30.txt" tableColumnId="16"/>
      <queryTableField id="17" name="montePar_50_15.txt" tableColumnId="17"/>
      <queryTableField id="18" name="montePar_50_16.txt" tableColumnId="18"/>
      <queryTableField id="19" name="montePar_50_17.txt" tableColumnId="19"/>
      <queryTableField id="20" name="montePar_50_18.txt" tableColumnId="20"/>
      <queryTableField id="21" name="montePar_50_19.txt" tableColumnId="21"/>
      <queryTableField id="22" name="montePar_50_20.txt" tableColumnId="22"/>
      <queryTableField id="23" name="montePar_50_21.txt" tableColumnId="23"/>
      <queryTableField id="24" name="montePar_50_22.txt" tableColumnId="24"/>
      <queryTableField id="25" name="montePar_50_23.txt" tableColumnId="25"/>
      <queryTableField id="26" name="montePar_50_24.txt" tableColumnId="26"/>
      <queryTableField id="27" name="montePar_50_25.txt" tableColumnId="27"/>
      <queryTableField id="28" name="montePar_50_26.txt" tableColumnId="28"/>
      <queryTableField id="29" name="montePar_50_27.txt" tableColumnId="29"/>
      <queryTableField id="30" name="montePar_50_28.txt" tableColumnId="30"/>
      <queryTableField id="31" name="montePar_50_29.txt" tableColumnId="31"/>
      <queryTableField id="32" name="montePar_50_30.txt" tableColumnId="3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5" connectionId="5" xr16:uid="{BE1F4510-8A37-4657-A7DC-021B77AB639E}" autoFormatId="16" applyNumberFormats="0" applyBorderFormats="0" applyFontFormats="0" applyPatternFormats="0" applyAlignmentFormats="0" applyWidthHeightFormats="0">
  <queryTableRefresh nextId="33">
    <queryTableFields count="32">
      <queryTableField id="1" name="minMaxPar_50_15.txt" tableColumnId="1"/>
      <queryTableField id="2" name="minMaxPar_50_16.txt" tableColumnId="2"/>
      <queryTableField id="3" name="minMaxPar_50_17.txt" tableColumnId="3"/>
      <queryTableField id="4" name="minMaxPar_50_18.txt" tableColumnId="4"/>
      <queryTableField id="5" name="minMaxPar_50_19.txt" tableColumnId="5"/>
      <queryTableField id="6" name="minMaxPar_50_20.txt" tableColumnId="6"/>
      <queryTableField id="7" name="minMaxPar_50_21.txt" tableColumnId="7"/>
      <queryTableField id="8" name="minMaxPar_50_22.txt" tableColumnId="8"/>
      <queryTableField id="9" name="minMaxPar_50_23.txt" tableColumnId="9"/>
      <queryTableField id="10" name="minMaxPar_50_24.txt" tableColumnId="10"/>
      <queryTableField id="11" name="minMaxPar_50_25.txt" tableColumnId="11"/>
      <queryTableField id="12" name="minMaxPar_50_26.txt" tableColumnId="12"/>
      <queryTableField id="13" name="minMaxPar_50_27.txt" tableColumnId="13"/>
      <queryTableField id="14" name="minMaxPar_50_28.txt" tableColumnId="14"/>
      <queryTableField id="15" name="minMaxPar_50_29.txt" tableColumnId="15"/>
      <queryTableField id="16" name="minMaxPar_50_30.txt" tableColumnId="16"/>
      <queryTableField id="17" name="montePar_50_15.txt" tableColumnId="17"/>
      <queryTableField id="18" name="montePar_50_16.txt" tableColumnId="18"/>
      <queryTableField id="19" name="montePar_50_17.txt" tableColumnId="19"/>
      <queryTableField id="20" name="montePar_50_18.txt" tableColumnId="20"/>
      <queryTableField id="21" name="montePar_50_19.txt" tableColumnId="21"/>
      <queryTableField id="22" name="montePar_50_20.txt" tableColumnId="22"/>
      <queryTableField id="23" name="montePar_50_21.txt" tableColumnId="23"/>
      <queryTableField id="24" name="montePar_50_22.txt" tableColumnId="24"/>
      <queryTableField id="25" name="montePar_50_23.txt" tableColumnId="25"/>
      <queryTableField id="26" name="montePar_50_24.txt" tableColumnId="26"/>
      <queryTableField id="27" name="montePar_50_25.txt" tableColumnId="27"/>
      <queryTableField id="28" name="montePar_50_26.txt" tableColumnId="28"/>
      <queryTableField id="29" name="montePar_50_27.txt" tableColumnId="29"/>
      <queryTableField id="30" name="montePar_50_28.txt" tableColumnId="30"/>
      <queryTableField id="31" name="montePar_50_29.txt" tableColumnId="31"/>
      <queryTableField id="32" name="montePar_50_30.txt" tableColumnId="32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4" connectionId="4" xr16:uid="{83B7CF99-7FFC-4A24-8155-DD5008B73D46}" autoFormatId="16" applyNumberFormats="0" applyBorderFormats="0" applyFontFormats="0" applyPatternFormats="0" applyAlignmentFormats="0" applyWidthHeightFormats="0">
  <queryTableRefresh nextId="33">
    <queryTableFields count="32">
      <queryTableField id="1" name="minMaxPar_50_15.txt" tableColumnId="1"/>
      <queryTableField id="2" name="minMaxPar_50_16.txt" tableColumnId="2"/>
      <queryTableField id="3" name="minMaxPar_50_17.txt" tableColumnId="3"/>
      <queryTableField id="4" name="minMaxPar_50_18.txt" tableColumnId="4"/>
      <queryTableField id="5" name="minMaxPar_50_19.txt" tableColumnId="5"/>
      <queryTableField id="6" name="minMaxPar_50_20.txt" tableColumnId="6"/>
      <queryTableField id="7" name="minMaxPar_50_21.txt" tableColumnId="7"/>
      <queryTableField id="8" name="minMaxPar_50_22.txt" tableColumnId="8"/>
      <queryTableField id="9" name="minMaxPar_50_23.txt" tableColumnId="9"/>
      <queryTableField id="10" name="minMaxPar_50_24.txt" tableColumnId="10"/>
      <queryTableField id="11" name="minMaxPar_50_25.txt" tableColumnId="11"/>
      <queryTableField id="12" name="minMaxPar_50_26.txt" tableColumnId="12"/>
      <queryTableField id="13" name="minMaxPar_50_27.txt" tableColumnId="13"/>
      <queryTableField id="14" name="minMaxPar_50_28.txt" tableColumnId="14"/>
      <queryTableField id="15" name="minMaxPar_50_29.txt" tableColumnId="15"/>
      <queryTableField id="16" name="minMaxPar_50_30.txt" tableColumnId="16"/>
      <queryTableField id="17" name="montePar_50_15.txt" tableColumnId="17"/>
      <queryTableField id="18" name="montePar_50_16.txt" tableColumnId="18"/>
      <queryTableField id="19" name="montePar_50_17.txt" tableColumnId="19"/>
      <queryTableField id="20" name="montePar_50_18.txt" tableColumnId="20"/>
      <queryTableField id="21" name="montePar_50_19.txt" tableColumnId="21"/>
      <queryTableField id="22" name="montePar_50_20.txt" tableColumnId="22"/>
      <queryTableField id="23" name="montePar_50_21.txt" tableColumnId="23"/>
      <queryTableField id="24" name="montePar_50_22.txt" tableColumnId="24"/>
      <queryTableField id="25" name="montePar_50_23.txt" tableColumnId="25"/>
      <queryTableField id="26" name="montePar_50_24.txt" tableColumnId="26"/>
      <queryTableField id="27" name="montePar_50_25.txt" tableColumnId="27"/>
      <queryTableField id="28" name="montePar_50_26.txt" tableColumnId="28"/>
      <queryTableField id="29" name="montePar_50_27.txt" tableColumnId="29"/>
      <queryTableField id="30" name="montePar_50_28.txt" tableColumnId="30"/>
      <queryTableField id="31" name="montePar_50_29.txt" tableColumnId="31"/>
      <queryTableField id="32" name="montePar_50_30.txt" tableColumnId="32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3" connectionId="3" xr16:uid="{F3287921-6044-4742-9D46-5150D1FBBD5F}" autoFormatId="16" applyNumberFormats="0" applyBorderFormats="0" applyFontFormats="0" applyPatternFormats="0" applyAlignmentFormats="0" applyWidthHeightFormats="0">
  <queryTableRefresh nextId="33">
    <queryTableFields count="32">
      <queryTableField id="1" name="minMaxPar_50_15.txt" tableColumnId="1"/>
      <queryTableField id="2" name="minMaxPar_50_16.txt" tableColumnId="2"/>
      <queryTableField id="3" name="minMaxPar_50_17.txt" tableColumnId="3"/>
      <queryTableField id="4" name="minMaxPar_50_18.txt" tableColumnId="4"/>
      <queryTableField id="5" name="minMaxPar_50_19.txt" tableColumnId="5"/>
      <queryTableField id="6" name="minMaxPar_50_20.txt" tableColumnId="6"/>
      <queryTableField id="7" name="minMaxPar_50_21.txt" tableColumnId="7"/>
      <queryTableField id="8" name="minMaxPar_50_22.txt" tableColumnId="8"/>
      <queryTableField id="9" name="minMaxPar_50_23.txt" tableColumnId="9"/>
      <queryTableField id="10" name="minMaxPar_50_24.txt" tableColumnId="10"/>
      <queryTableField id="11" name="minMaxPar_50_25.txt" tableColumnId="11"/>
      <queryTableField id="12" name="minMaxPar_50_26.txt" tableColumnId="12"/>
      <queryTableField id="13" name="minMaxPar_50_27.txt" tableColumnId="13"/>
      <queryTableField id="14" name="minMaxPar_50_28.txt" tableColumnId="14"/>
      <queryTableField id="15" name="minMaxPar_50_29.txt" tableColumnId="15"/>
      <queryTableField id="16" name="minMaxPar_50_30.txt" tableColumnId="16"/>
      <queryTableField id="17" name="montePar_50_15.txt" tableColumnId="17"/>
      <queryTableField id="18" name="montePar_50_16.txt" tableColumnId="18"/>
      <queryTableField id="19" name="montePar_50_17.txt" tableColumnId="19"/>
      <queryTableField id="20" name="montePar_50_18.txt" tableColumnId="20"/>
      <queryTableField id="21" name="montePar_50_19.txt" tableColumnId="21"/>
      <queryTableField id="22" name="montePar_50_20.txt" tableColumnId="22"/>
      <queryTableField id="23" name="montePar_50_21.txt" tableColumnId="23"/>
      <queryTableField id="24" name="montePar_50_22.txt" tableColumnId="24"/>
      <queryTableField id="25" name="montePar_50_23.txt" tableColumnId="25"/>
      <queryTableField id="26" name="montePar_50_24.txt" tableColumnId="26"/>
      <queryTableField id="27" name="montePar_50_25.txt" tableColumnId="27"/>
      <queryTableField id="28" name="montePar_50_26.txt" tableColumnId="28"/>
      <queryTableField id="29" name="montePar_50_27.txt" tableColumnId="29"/>
      <queryTableField id="30" name="montePar_50_28.txt" tableColumnId="30"/>
      <queryTableField id="31" name="montePar_50_29.txt" tableColumnId="31"/>
      <queryTableField id="32" name="montePar_50_30.txt" tableColumnId="32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2" connectionId="2" xr16:uid="{790A8D2B-C4E8-4C87-90EB-BA1E6441FDDB}" autoFormatId="16" applyNumberFormats="0" applyBorderFormats="0" applyFontFormats="0" applyPatternFormats="0" applyAlignmentFormats="0" applyWidthHeightFormats="0">
  <queryTableRefresh nextId="33">
    <queryTableFields count="32">
      <queryTableField id="1" name="minMaxPar_50_15.txt" tableColumnId="1"/>
      <queryTableField id="2" name="minMaxPar_50_16.txt" tableColumnId="2"/>
      <queryTableField id="3" name="minMaxPar_50_17.txt" tableColumnId="3"/>
      <queryTableField id="4" name="minMaxPar_50_18.txt" tableColumnId="4"/>
      <queryTableField id="5" name="minMaxPar_50_19.txt" tableColumnId="5"/>
      <queryTableField id="6" name="minMaxPar_50_20.txt" tableColumnId="6"/>
      <queryTableField id="7" name="minMaxPar_50_21.txt" tableColumnId="7"/>
      <queryTableField id="8" name="minMaxPar_50_22.txt" tableColumnId="8"/>
      <queryTableField id="9" name="minMaxPar_50_23.txt" tableColumnId="9"/>
      <queryTableField id="10" name="minMaxPar_50_24.txt" tableColumnId="10"/>
      <queryTableField id="11" name="minMaxPar_50_25.txt" tableColumnId="11"/>
      <queryTableField id="12" name="minMaxPar_50_26.txt" tableColumnId="12"/>
      <queryTableField id="13" name="minMaxPar_50_27.txt" tableColumnId="13"/>
      <queryTableField id="14" name="minMaxPar_50_28.txt" tableColumnId="14"/>
      <queryTableField id="15" name="minMaxPar_50_29.txt" tableColumnId="15"/>
      <queryTableField id="16" name="minMaxPar_50_30.txt" tableColumnId="16"/>
      <queryTableField id="17" name="montePar_50_15.txt" tableColumnId="17"/>
      <queryTableField id="18" name="montePar_50_16.txt" tableColumnId="18"/>
      <queryTableField id="19" name="montePar_50_17.txt" tableColumnId="19"/>
      <queryTableField id="20" name="montePar_50_18.txt" tableColumnId="20"/>
      <queryTableField id="21" name="montePar_50_19.txt" tableColumnId="21"/>
      <queryTableField id="22" name="montePar_50_20.txt" tableColumnId="22"/>
      <queryTableField id="23" name="montePar_50_21.txt" tableColumnId="23"/>
      <queryTableField id="24" name="montePar_50_22.txt" tableColumnId="24"/>
      <queryTableField id="25" name="montePar_50_23.txt" tableColumnId="25"/>
      <queryTableField id="26" name="montePar_50_24.txt" tableColumnId="26"/>
      <queryTableField id="27" name="montePar_50_25.txt" tableColumnId="27"/>
      <queryTableField id="28" name="montePar_50_26.txt" tableColumnId="28"/>
      <queryTableField id="29" name="montePar_50_27.txt" tableColumnId="29"/>
      <queryTableField id="30" name="montePar_50_28.txt" tableColumnId="30"/>
      <queryTableField id="31" name="montePar_50_29.txt" tableColumnId="31"/>
      <queryTableField id="32" name="montePar_50_30.txt" tableColumnId="32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1" xr16:uid="{9FA05AE8-DDFC-4104-995D-6216911C9EB7}" autoFormatId="16" applyNumberFormats="0" applyBorderFormats="0" applyFontFormats="0" applyPatternFormats="0" applyAlignmentFormats="0" applyWidthHeightFormats="0">
  <queryTableRefresh nextId="33">
    <queryTableFields count="32">
      <queryTableField id="1" name="minMaxPar_50_15.txt" tableColumnId="1"/>
      <queryTableField id="2" name="minMaxPar_50_16.txt" tableColumnId="2"/>
      <queryTableField id="3" name="minMaxPar_50_17.txt" tableColumnId="3"/>
      <queryTableField id="4" name="minMaxPar_50_18.txt" tableColumnId="4"/>
      <queryTableField id="5" name="minMaxPar_50_19.txt" tableColumnId="5"/>
      <queryTableField id="6" name="minMaxPar_50_20.txt" tableColumnId="6"/>
      <queryTableField id="7" name="minMaxPar_50_21.txt" tableColumnId="7"/>
      <queryTableField id="8" name="minMaxPar_50_22.txt" tableColumnId="8"/>
      <queryTableField id="9" name="minMaxPar_50_23.txt" tableColumnId="9"/>
      <queryTableField id="10" name="minMaxPar_50_24.txt" tableColumnId="10"/>
      <queryTableField id="11" name="minMaxPar_50_25.txt" tableColumnId="11"/>
      <queryTableField id="12" name="minMaxPar_50_26.txt" tableColumnId="12"/>
      <queryTableField id="13" name="minMaxPar_50_27.txt" tableColumnId="13"/>
      <queryTableField id="14" name="minMaxPar_50_28.txt" tableColumnId="14"/>
      <queryTableField id="15" name="minMaxPar_50_29.txt" tableColumnId="15"/>
      <queryTableField id="16" name="minMaxPar_50_30.txt" tableColumnId="16"/>
      <queryTableField id="17" name="montePar_50_15.txt" tableColumnId="17"/>
      <queryTableField id="18" name="montePar_50_16.txt" tableColumnId="18"/>
      <queryTableField id="19" name="montePar_50_17.txt" tableColumnId="19"/>
      <queryTableField id="20" name="montePar_50_18.txt" tableColumnId="20"/>
      <queryTableField id="21" name="montePar_50_19.txt" tableColumnId="21"/>
      <queryTableField id="22" name="montePar_50_20.txt" tableColumnId="22"/>
      <queryTableField id="23" name="montePar_50_21.txt" tableColumnId="23"/>
      <queryTableField id="24" name="montePar_50_22.txt" tableColumnId="24"/>
      <queryTableField id="25" name="montePar_50_23.txt" tableColumnId="25"/>
      <queryTableField id="26" name="montePar_50_24.txt" tableColumnId="26"/>
      <queryTableField id="27" name="montePar_50_25.txt" tableColumnId="27"/>
      <queryTableField id="28" name="montePar_50_26.txt" tableColumnId="28"/>
      <queryTableField id="29" name="montePar_50_27.txt" tableColumnId="29"/>
      <queryTableField id="30" name="montePar_50_28.txt" tableColumnId="30"/>
      <queryTableField id="31" name="montePar_50_29.txt" tableColumnId="31"/>
      <queryTableField id="32" name="montePar_50_30.txt" tableColumnId="3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F007C32-E49A-41BE-B0E3-567C0BE48598}" name="x__9" displayName="x__9" ref="A1:BB52" tableType="queryTable" totalsRowCount="1">
  <autoFilter ref="A1:BB51" xr:uid="{90FF33AB-FB7F-4BE0-BF09-7C3BAB5E8C36}"/>
  <tableColumns count="54">
    <tableColumn id="1" xr3:uid="{E4852F5D-CCEA-470D-857B-12C2A3457E52}" uniqueName="1" name="minMaxPar_50_15.txt" totalsRowFunction="custom" queryTableFieldId="1">
      <totalsRowFormula>AVERAGE(x__9[minMaxPar_50_15.txt])</totalsRowFormula>
    </tableColumn>
    <tableColumn id="2" xr3:uid="{5AD0E694-D5B8-48B6-A555-8C33E3F44375}" uniqueName="2" name="minMaxPar_50_16.txt" totalsRowFunction="custom" queryTableFieldId="2">
      <totalsRowFormula>AVERAGE(x__9[minMaxPar_50_16.txt])</totalsRowFormula>
    </tableColumn>
    <tableColumn id="3" xr3:uid="{90B54098-036F-4282-A47E-9B911FF3DA72}" uniqueName="3" name="minMaxPar_50_17.txt" totalsRowFunction="custom" queryTableFieldId="3">
      <totalsRowFormula>AVERAGE(x__9[minMaxPar_50_17.txt])</totalsRowFormula>
    </tableColumn>
    <tableColumn id="4" xr3:uid="{E538EFBE-727B-4CC1-8220-C1534341E041}" uniqueName="4" name="minMaxPar_50_18.txt" totalsRowFunction="custom" queryTableFieldId="4">
      <totalsRowFormula>AVERAGE(x__9[minMaxPar_50_18.txt])</totalsRowFormula>
    </tableColumn>
    <tableColumn id="5" xr3:uid="{29DAEC2D-5B74-4999-92F8-5DE432BCF7B4}" uniqueName="5" name="minMaxPar_50_19.txt" totalsRowFunction="custom" queryTableFieldId="5">
      <totalsRowFormula>AVERAGE(x__9[minMaxPar_50_19.txt])</totalsRowFormula>
    </tableColumn>
    <tableColumn id="6" xr3:uid="{CC21B135-98AD-462E-88E7-46B654639D47}" uniqueName="6" name="minMaxPar_50_20.txt" totalsRowFunction="custom" queryTableFieldId="6">
      <totalsRowFormula>AVERAGE(x__9[minMaxPar_50_20.txt])</totalsRowFormula>
    </tableColumn>
    <tableColumn id="7" xr3:uid="{9D71909C-E814-4EC3-BC31-4DD1A4DB2470}" uniqueName="7" name="minMaxPar_50_21.txt" totalsRowFunction="custom" queryTableFieldId="7">
      <totalsRowFormula>AVERAGE(x__9[minMaxPar_50_21.txt])</totalsRowFormula>
    </tableColumn>
    <tableColumn id="8" xr3:uid="{8ACF0F5F-992F-43CB-A640-C79B02B87E98}" uniqueName="8" name="minMaxPar_50_22.txt" totalsRowFunction="custom" queryTableFieldId="8">
      <totalsRowFormula>AVERAGE(x__9[minMaxPar_50_22.txt])</totalsRowFormula>
    </tableColumn>
    <tableColumn id="9" xr3:uid="{A3E6B8F0-16CD-49F3-A6CC-44B296EF4955}" uniqueName="9" name="minMaxPar_50_23.txt" totalsRowFunction="custom" queryTableFieldId="9">
      <totalsRowFormula>AVERAGE(x__9[minMaxPar_50_23.txt])</totalsRowFormula>
    </tableColumn>
    <tableColumn id="10" xr3:uid="{CFD498EA-B659-43A6-B602-25FB395337D1}" uniqueName="10" name="minMaxPar_50_24.txt" totalsRowFunction="custom" queryTableFieldId="10">
      <totalsRowFormula>AVERAGE(x__9[minMaxPar_50_24.txt])</totalsRowFormula>
    </tableColumn>
    <tableColumn id="11" xr3:uid="{7349C23D-8946-4CEF-8698-B12545C33C99}" uniqueName="11" name="minMaxPar_50_25.txt" totalsRowFunction="custom" queryTableFieldId="11">
      <totalsRowFormula>AVERAGE(x__9[minMaxPar_50_25.txt])</totalsRowFormula>
    </tableColumn>
    <tableColumn id="12" xr3:uid="{B7A49A9C-32F8-4F43-B426-FED4024A5EAE}" uniqueName="12" name="minMaxPar_50_26.txt" totalsRowFunction="custom" queryTableFieldId="12">
      <totalsRowFormula>AVERAGE(x__9[minMaxPar_50_26.txt])</totalsRowFormula>
    </tableColumn>
    <tableColumn id="13" xr3:uid="{E714B09C-FFE7-495F-877D-2AC104162048}" uniqueName="13" name="minMaxPar_50_27.txt" totalsRowFunction="custom" queryTableFieldId="13">
      <totalsRowFormula>AVERAGE(x__9[minMaxPar_50_27.txt])</totalsRowFormula>
    </tableColumn>
    <tableColumn id="14" xr3:uid="{E446A152-3B0F-45D2-94E3-1D28374E7D09}" uniqueName="14" name="minMaxPar_50_28.txt" totalsRowFunction="custom" queryTableFieldId="14">
      <totalsRowFormula>AVERAGE(x__9[minMaxPar_50_28.txt])</totalsRowFormula>
    </tableColumn>
    <tableColumn id="15" xr3:uid="{8666CED0-8A28-47F4-B2A4-91C0DE77A3E4}" uniqueName="15" name="minMaxPar_50_29.txt" totalsRowFunction="custom" queryTableFieldId="15">
      <totalsRowFormula>AVERAGE(x__9[minMaxPar_50_29.txt])</totalsRowFormula>
    </tableColumn>
    <tableColumn id="16" xr3:uid="{95C6B031-C52C-40B8-B5C8-6370574E33AF}" uniqueName="16" name="minMaxPar_50_30.txt" totalsRowFunction="custom" queryTableFieldId="16">
      <totalsRowFormula>AVERAGE(x__9[minMaxPar_50_30.txt])</totalsRowFormula>
    </tableColumn>
    <tableColumn id="17" xr3:uid="{036E08A5-5BE9-4C1E-A8A8-76DB61395DC7}" uniqueName="17" name="minMaxSeq_50_15.txt" totalsRowFunction="custom" queryTableFieldId="17">
      <totalsRowFormula>AVERAGE(x__9[minMaxSeq_50_15.txt])</totalsRowFormula>
    </tableColumn>
    <tableColumn id="18" xr3:uid="{13CEB32F-3556-4923-B103-3BA278F379CF}" uniqueName="18" name="minMaxSeq_50_16.txt" totalsRowFunction="custom" queryTableFieldId="18">
      <totalsRowFormula>AVERAGE(x__9[minMaxSeq_50_16.txt])</totalsRowFormula>
    </tableColumn>
    <tableColumn id="19" xr3:uid="{58A5BB8A-4B75-4C3A-AC45-F88B1898F0B4}" uniqueName="19" name="minMaxSeq_50_17.txt" totalsRowFunction="custom" queryTableFieldId="19">
      <totalsRowFormula>AVERAGE(x__9[minMaxSeq_50_17.txt])</totalsRowFormula>
    </tableColumn>
    <tableColumn id="20" xr3:uid="{D1D54685-777A-450A-A6B9-7395F2799196}" uniqueName="20" name="minMaxSeq_50_18.txt" totalsRowFunction="custom" queryTableFieldId="20">
      <totalsRowFormula>AVERAGE(x__9[minMaxSeq_50_18.txt])</totalsRowFormula>
    </tableColumn>
    <tableColumn id="21" xr3:uid="{FF00073B-0405-44C7-A5B8-93B350D2E3C2}" uniqueName="21" name="minMaxSeq_50_19.txt" totalsRowFunction="custom" queryTableFieldId="21">
      <totalsRowFormula>AVERAGE(x__9[minMaxSeq_50_19.txt])</totalsRowFormula>
    </tableColumn>
    <tableColumn id="22" xr3:uid="{69F8EA45-729D-48C2-9371-9D202CC23DF3}" uniqueName="22" name="minMaxSeq_50_20.txt" totalsRowFunction="custom" queryTableFieldId="22">
      <totalsRowFormula>AVERAGE(x__9[minMaxSeq_50_20.txt])</totalsRowFormula>
    </tableColumn>
    <tableColumn id="23" xr3:uid="{DD5512F9-323B-4802-854E-1D4DAF78759B}" uniqueName="23" name="minMaxSeq_50_21.txt" totalsRowFunction="custom" queryTableFieldId="23">
      <totalsRowFormula>AVERAGE(x__9[minMaxSeq_50_21.txt])</totalsRowFormula>
    </tableColumn>
    <tableColumn id="24" xr3:uid="{058AB99B-27E6-4CE7-B7A3-695843A9BC15}" uniqueName="24" name="minMaxSeq_50_22.txt" totalsRowFunction="custom" queryTableFieldId="24">
      <totalsRowFormula>AVERAGE(x__9[minMaxSeq_50_22.txt])</totalsRowFormula>
    </tableColumn>
    <tableColumn id="25" xr3:uid="{0568B0F3-DB0E-46B5-9B6F-A9B17F1577A4}" uniqueName="25" name="minMaxSeq_50_23.txt" totalsRowFunction="custom" queryTableFieldId="25">
      <totalsRowFormula>AVERAGE(x__9[minMaxSeq_50_23.txt])</totalsRowFormula>
    </tableColumn>
    <tableColumn id="26" xr3:uid="{E20ED720-4DB7-4BC6-B9C2-4B6440B26BC7}" uniqueName="26" name="minMaxSeq_50_24.txt" totalsRowFunction="custom" queryTableFieldId="26">
      <totalsRowFormula>AVERAGE(x__9[minMaxSeq_50_24.txt])</totalsRowFormula>
    </tableColumn>
    <tableColumn id="27" xr3:uid="{00195587-5D9F-43CF-9016-CB97BD13C17B}" uniqueName="27" name="minMaxSeq_50_25.txt" totalsRowFunction="custom" queryTableFieldId="27">
      <totalsRowFormula>AVERAGE(x__9[minMaxSeq_50_25.txt])</totalsRowFormula>
    </tableColumn>
    <tableColumn id="28" xr3:uid="{C669A4D7-F0ED-4D1E-9737-AACCF0AB5651}" uniqueName="28" name="montePar_50_15.txt" totalsRowFunction="custom" queryTableFieldId="28">
      <totalsRowFormula>AVERAGE(x__9[montePar_50_15.txt])</totalsRowFormula>
    </tableColumn>
    <tableColumn id="29" xr3:uid="{D3056A2C-BCA7-4798-B55C-D06234A41513}" uniqueName="29" name="montePar_50_16.txt" totalsRowFunction="custom" queryTableFieldId="29">
      <totalsRowFormula>AVERAGE(x__9[montePar_50_16.txt])</totalsRowFormula>
    </tableColumn>
    <tableColumn id="30" xr3:uid="{26517AD1-8C0E-419B-B026-F239398F499C}" uniqueName="30" name="montePar_50_17.txt" totalsRowFunction="custom" queryTableFieldId="30">
      <totalsRowFormula>AVERAGE(x__9[montePar_50_17.txt])</totalsRowFormula>
    </tableColumn>
    <tableColumn id="31" xr3:uid="{5705B1A2-EFF6-496C-8116-50C5D6817EB3}" uniqueName="31" name="montePar_50_18.txt" totalsRowFunction="custom" queryTableFieldId="31">
      <totalsRowFormula>AVERAGE(x__9[montePar_50_18.txt])</totalsRowFormula>
    </tableColumn>
    <tableColumn id="32" xr3:uid="{FD0CF130-1827-422A-A55E-D51BAA253241}" uniqueName="32" name="montePar_50_19.txt" totalsRowFunction="custom" queryTableFieldId="32">
      <totalsRowFormula>AVERAGE(x__9[montePar_50_19.txt])</totalsRowFormula>
    </tableColumn>
    <tableColumn id="33" xr3:uid="{B0D1F63B-EA95-418C-9E41-6D34AD4EAC64}" uniqueName="33" name="montePar_50_20.txt" totalsRowFunction="custom" queryTableFieldId="33">
      <totalsRowFormula>AVERAGE(x__9[montePar_50_20.txt])</totalsRowFormula>
    </tableColumn>
    <tableColumn id="34" xr3:uid="{2E40897C-F18F-4F1B-9E38-C5C6DAB21C92}" uniqueName="34" name="montePar_50_21.txt" totalsRowFunction="custom" queryTableFieldId="34">
      <totalsRowFormula>AVERAGE(x__9[montePar_50_21.txt])</totalsRowFormula>
    </tableColumn>
    <tableColumn id="35" xr3:uid="{22B03A16-319D-4AFA-A62C-744327967271}" uniqueName="35" name="montePar_50_22.txt" totalsRowFunction="custom" queryTableFieldId="35">
      <totalsRowFormula>AVERAGE(x__9[montePar_50_22.txt])</totalsRowFormula>
    </tableColumn>
    <tableColumn id="36" xr3:uid="{194E916E-EB5A-4385-A91E-CD8D4204790A}" uniqueName="36" name="montePar_50_23.txt" totalsRowFunction="custom" queryTableFieldId="36">
      <totalsRowFormula>AVERAGE(x__9[montePar_50_23.txt])</totalsRowFormula>
    </tableColumn>
    <tableColumn id="37" xr3:uid="{3A22E72E-D2FF-4F85-B00A-D04F917110B5}" uniqueName="37" name="montePar_50_24.txt" totalsRowFunction="custom" queryTableFieldId="37">
      <totalsRowFormula>AVERAGE(x__9[montePar_50_24.txt])</totalsRowFormula>
    </tableColumn>
    <tableColumn id="38" xr3:uid="{6598880B-BBAC-4A08-A86A-EB9E81307091}" uniqueName="38" name="montePar_50_25.txt" totalsRowFunction="custom" queryTableFieldId="38">
      <totalsRowFormula>AVERAGE(x__9[montePar_50_25.txt])</totalsRowFormula>
    </tableColumn>
    <tableColumn id="39" xr3:uid="{D18B7039-A9E9-475C-BB1E-2063C4CEAE27}" uniqueName="39" name="montePar_50_26.txt" totalsRowFunction="custom" queryTableFieldId="39">
      <totalsRowFormula>AVERAGE(x__9[montePar_50_26.txt])</totalsRowFormula>
    </tableColumn>
    <tableColumn id="40" xr3:uid="{93D332F8-2856-4CBD-9C99-E1B119474771}" uniqueName="40" name="montePar_50_27.txt" totalsRowFunction="custom" queryTableFieldId="40">
      <totalsRowFormula>AVERAGE(x__9[montePar_50_27.txt])</totalsRowFormula>
    </tableColumn>
    <tableColumn id="41" xr3:uid="{1C39E588-B565-4AC6-8DC7-AD6992707911}" uniqueName="41" name="montePar_50_28.txt" totalsRowFunction="custom" queryTableFieldId="41">
      <totalsRowFormula>AVERAGE(x__9[montePar_50_28.txt])</totalsRowFormula>
    </tableColumn>
    <tableColumn id="42" xr3:uid="{E1902320-C71F-44C9-B592-81D703D3574E}" uniqueName="42" name="montePar_50_29.txt" totalsRowFunction="custom" queryTableFieldId="42">
      <totalsRowFormula>AVERAGE(x__9[montePar_50_29.txt])</totalsRowFormula>
    </tableColumn>
    <tableColumn id="43" xr3:uid="{9E74A6CB-654E-48AD-A73F-93BB6B5A85C5}" uniqueName="43" name="montePar_50_30.txt" totalsRowFunction="custom" queryTableFieldId="43">
      <totalsRowFormula>AVERAGE(x__9[montePar_50_30.txt])</totalsRowFormula>
    </tableColumn>
    <tableColumn id="44" xr3:uid="{7A7FE02C-4D18-46C8-A6D8-01C865A913BA}" uniqueName="44" name="monteSeq_50_15.txt" totalsRowFunction="custom" queryTableFieldId="44">
      <totalsRowFormula>AVERAGE(x__9[monteSeq_50_15.txt])</totalsRowFormula>
    </tableColumn>
    <tableColumn id="45" xr3:uid="{EF177414-B0B9-4437-8BB1-5B4DDD1F28F5}" uniqueName="45" name="monteSeq_50_16.txt" totalsRowFunction="custom" queryTableFieldId="45">
      <totalsRowFormula>AVERAGE(x__9[monteSeq_50_16.txt])</totalsRowFormula>
    </tableColumn>
    <tableColumn id="46" xr3:uid="{C5DE1A2B-618B-4CD4-AF16-81157ACE62FB}" uniqueName="46" name="monteSeq_50_17.txt" totalsRowFunction="custom" queryTableFieldId="46">
      <totalsRowFormula>AVERAGE(x__9[monteSeq_50_17.txt])</totalsRowFormula>
    </tableColumn>
    <tableColumn id="47" xr3:uid="{26751FF9-B286-4997-9F94-90B9C763CA3C}" uniqueName="47" name="monteSeq_50_18.txt" totalsRowFunction="custom" queryTableFieldId="47">
      <totalsRowFormula>AVERAGE(x__9[monteSeq_50_18.txt])</totalsRowFormula>
    </tableColumn>
    <tableColumn id="48" xr3:uid="{7B556179-DC4C-411F-8CFC-D2941D8E793F}" uniqueName="48" name="monteSeq_50_19.txt" totalsRowFunction="custom" queryTableFieldId="48">
      <totalsRowFormula>AVERAGE(x__9[monteSeq_50_19.txt])</totalsRowFormula>
    </tableColumn>
    <tableColumn id="49" xr3:uid="{D33305A7-FB00-463F-9FEA-A9E4F7E33D9F}" uniqueName="49" name="monteSeq_50_20.txt" totalsRowFunction="custom" queryTableFieldId="49">
      <totalsRowFormula>AVERAGE(x__9[monteSeq_50_20.txt])</totalsRowFormula>
    </tableColumn>
    <tableColumn id="50" xr3:uid="{6B5B244E-41E1-4C9E-8729-FD9CF8AC7E02}" uniqueName="50" name="monteSeq_50_21.txt" totalsRowFunction="custom" queryTableFieldId="50">
      <totalsRowFormula>AVERAGE(x__9[monteSeq_50_21.txt])</totalsRowFormula>
    </tableColumn>
    <tableColumn id="51" xr3:uid="{C8263A87-6383-4D28-9587-75C054E09D6B}" uniqueName="51" name="monteSeq_50_22.txt" totalsRowFunction="custom" queryTableFieldId="51">
      <totalsRowFormula>AVERAGE(x__9[monteSeq_50_22.txt])</totalsRowFormula>
    </tableColumn>
    <tableColumn id="52" xr3:uid="{0221D986-1A26-42E9-8DE9-BEE869779E87}" uniqueName="52" name="monteSeq_50_23.txt" totalsRowFunction="custom" queryTableFieldId="52">
      <totalsRowFormula>AVERAGE(x__9[monteSeq_50_23.txt])</totalsRowFormula>
    </tableColumn>
    <tableColumn id="53" xr3:uid="{E651B4A6-22B7-417A-9FB6-5E54454DBBBB}" uniqueName="53" name="monteSeq_50_24.txt" totalsRowFunction="custom" queryTableFieldId="53">
      <totalsRowFormula>AVERAGE(x__9[monteSeq_50_24.txt])</totalsRowFormula>
    </tableColumn>
    <tableColumn id="54" xr3:uid="{3228058A-E861-44DC-989A-FE602D8DEA24}" uniqueName="54" name="monteSeq_50_25.txt" totalsRowFunction="custom" queryTableFieldId="54">
      <totalsRowFormula>AVERAGE(x__9[monteSeq_50_25.txt])</totalsRow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B7E8065-3FCA-4E08-8100-2A6740009049}" name="x__8" displayName="x__8" ref="A1:BB52" tableType="queryTable" totalsRowCount="1">
  <autoFilter ref="A1:BB51" xr:uid="{129ABA58-832E-48C9-9FF1-434D607AF6FD}"/>
  <tableColumns count="54">
    <tableColumn id="1" xr3:uid="{AA973675-3845-4317-9EAC-9AF9A28D17B6}" uniqueName="1" name="minMaxPar_50_15.txt" totalsRowFunction="custom" queryTableFieldId="1">
      <totalsRowFormula>AVERAGE(x__8[minMaxPar_50_15.txt])</totalsRowFormula>
    </tableColumn>
    <tableColumn id="2" xr3:uid="{7D0D8345-FDDF-4919-8A35-DBC51F69631A}" uniqueName="2" name="minMaxPar_50_16.txt" totalsRowFunction="custom" queryTableFieldId="2">
      <totalsRowFormula>AVERAGE(x__8[minMaxPar_50_16.txt])</totalsRowFormula>
    </tableColumn>
    <tableColumn id="3" xr3:uid="{4300BCBD-75D7-41C1-BA0E-79A727ED8B3E}" uniqueName="3" name="minMaxPar_50_17.txt" totalsRowFunction="custom" queryTableFieldId="3">
      <totalsRowFormula>AVERAGE(x__8[minMaxPar_50_17.txt])</totalsRowFormula>
    </tableColumn>
    <tableColumn id="4" xr3:uid="{9735A191-21B4-4EEB-9826-38744777B554}" uniqueName="4" name="minMaxPar_50_18.txt" totalsRowFunction="custom" queryTableFieldId="4">
      <totalsRowFormula>AVERAGE(x__8[minMaxPar_50_18.txt])</totalsRowFormula>
    </tableColumn>
    <tableColumn id="5" xr3:uid="{D04FB84A-9890-4C3C-8E92-7E00C5210597}" uniqueName="5" name="minMaxPar_50_19.txt" totalsRowFunction="custom" queryTableFieldId="5">
      <totalsRowFormula>AVERAGE(x__8[minMaxPar_50_19.txt])</totalsRowFormula>
    </tableColumn>
    <tableColumn id="6" xr3:uid="{9DE0859E-2B80-4763-B54A-03E6209414BD}" uniqueName="6" name="minMaxPar_50_20.txt" totalsRowFunction="custom" queryTableFieldId="6">
      <totalsRowFormula>AVERAGE(x__8[minMaxPar_50_20.txt])</totalsRowFormula>
    </tableColumn>
    <tableColumn id="7" xr3:uid="{24DEE91E-0C75-4033-905F-F7BB731DDC39}" uniqueName="7" name="minMaxPar_50_21.txt" totalsRowFunction="custom" queryTableFieldId="7">
      <totalsRowFormula>AVERAGE(x__8[minMaxPar_50_21.txt])</totalsRowFormula>
    </tableColumn>
    <tableColumn id="8" xr3:uid="{0C2DDF15-51C8-46A7-BD46-E84743BE883E}" uniqueName="8" name="minMaxPar_50_22.txt" totalsRowFunction="custom" queryTableFieldId="8">
      <totalsRowFormula>AVERAGE(x__8[minMaxPar_50_22.txt])</totalsRowFormula>
    </tableColumn>
    <tableColumn id="9" xr3:uid="{DE96E744-1512-4A51-B831-1C336D3F92C1}" uniqueName="9" name="minMaxPar_50_23.txt" totalsRowFunction="custom" queryTableFieldId="9">
      <totalsRowFormula>AVERAGE(x__8[minMaxPar_50_23.txt])</totalsRowFormula>
    </tableColumn>
    <tableColumn id="10" xr3:uid="{0FC78B9C-F0B2-4BFA-A50D-C8466BEC276D}" uniqueName="10" name="minMaxPar_50_24.txt" totalsRowFunction="custom" queryTableFieldId="10">
      <totalsRowFormula>AVERAGE(x__8[minMaxPar_50_24.txt])</totalsRowFormula>
    </tableColumn>
    <tableColumn id="11" xr3:uid="{FFFBCF98-E2F6-4147-A934-1219D51266E8}" uniqueName="11" name="minMaxPar_50_25.txt" totalsRowFunction="custom" queryTableFieldId="11">
      <totalsRowFormula>AVERAGE(x__8[minMaxPar_50_25.txt])</totalsRowFormula>
    </tableColumn>
    <tableColumn id="12" xr3:uid="{24CB5B7F-4C7A-46C5-ACD6-9C28FEDF67DA}" uniqueName="12" name="minMaxPar_50_26.txt" totalsRowFunction="custom" queryTableFieldId="12">
      <totalsRowFormula>AVERAGE(x__8[minMaxPar_50_26.txt])</totalsRowFormula>
    </tableColumn>
    <tableColumn id="13" xr3:uid="{2EF2EFDF-3EEC-4D51-AD7E-2482FAD1D55C}" uniqueName="13" name="minMaxPar_50_27.txt" totalsRowFunction="custom" queryTableFieldId="13">
      <totalsRowFormula>AVERAGE(x__8[minMaxPar_50_27.txt])</totalsRowFormula>
    </tableColumn>
    <tableColumn id="14" xr3:uid="{1906574A-8610-4FE4-A0DF-EE8780C17908}" uniqueName="14" name="minMaxPar_50_28.txt" totalsRowFunction="custom" queryTableFieldId="14">
      <totalsRowFormula>AVERAGE(x__8[minMaxPar_50_28.txt])</totalsRowFormula>
    </tableColumn>
    <tableColumn id="15" xr3:uid="{6EB7D41D-E182-42AD-93E7-18941400E609}" uniqueName="15" name="minMaxPar_50_29.txt" totalsRowFunction="custom" queryTableFieldId="15">
      <totalsRowFormula>AVERAGE(x__8[minMaxPar_50_29.txt])</totalsRowFormula>
    </tableColumn>
    <tableColumn id="16" xr3:uid="{BDDCE964-2F03-4BEF-8276-DE262DF8E165}" uniqueName="16" name="minMaxPar_50_30.txt" totalsRowFunction="custom" queryTableFieldId="16">
      <totalsRowFormula>AVERAGE(x__8[minMaxPar_50_30.txt])</totalsRowFormula>
    </tableColumn>
    <tableColumn id="17" xr3:uid="{D4CAB312-7E1A-41FF-BB06-861DDC749F90}" uniqueName="17" name="minMaxSeq_50_15.txt" totalsRowFunction="custom" queryTableFieldId="17">
      <totalsRowFormula>AVERAGE(x__8[minMaxSeq_50_15.txt])</totalsRowFormula>
    </tableColumn>
    <tableColumn id="18" xr3:uid="{0774E163-15B9-4F60-9963-7FF5D411DEB8}" uniqueName="18" name="minMaxSeq_50_16.txt" totalsRowFunction="custom" queryTableFieldId="18">
      <totalsRowFormula>AVERAGE(x__8[minMaxSeq_50_16.txt])</totalsRowFormula>
    </tableColumn>
    <tableColumn id="19" xr3:uid="{A7A3FEE6-0D3A-4BC4-B4E4-6D1C779FC12B}" uniqueName="19" name="minMaxSeq_50_17.txt" totalsRowFunction="custom" queryTableFieldId="19">
      <totalsRowFormula>AVERAGE(x__8[minMaxSeq_50_17.txt])</totalsRowFormula>
    </tableColumn>
    <tableColumn id="20" xr3:uid="{DE459D3E-6B6A-4903-B750-C20CB9E49D9F}" uniqueName="20" name="minMaxSeq_50_18.txt" totalsRowFunction="custom" queryTableFieldId="20">
      <totalsRowFormula>AVERAGE(x__8[minMaxSeq_50_18.txt])</totalsRowFormula>
    </tableColumn>
    <tableColumn id="21" xr3:uid="{8DE667DF-1573-4736-A06F-79DCD5FCC3E4}" uniqueName="21" name="minMaxSeq_50_19.txt" totalsRowFunction="custom" queryTableFieldId="21">
      <totalsRowFormula>AVERAGE(x__8[minMaxSeq_50_19.txt])</totalsRowFormula>
    </tableColumn>
    <tableColumn id="22" xr3:uid="{F19821FC-FE05-432A-BF2F-3FEEBB00E5A5}" uniqueName="22" name="minMaxSeq_50_20.txt" totalsRowFunction="custom" queryTableFieldId="22">
      <totalsRowFormula>AVERAGE(x__8[minMaxSeq_50_20.txt])</totalsRowFormula>
    </tableColumn>
    <tableColumn id="23" xr3:uid="{227CB035-E4BD-47ED-B737-D620FF7115B5}" uniqueName="23" name="minMaxSeq_50_21.txt" totalsRowFunction="custom" queryTableFieldId="23">
      <totalsRowFormula>AVERAGE(x__8[minMaxSeq_50_21.txt])</totalsRowFormula>
    </tableColumn>
    <tableColumn id="24" xr3:uid="{8D7B52A3-CA76-40C1-B050-9C5E420B58C4}" uniqueName="24" name="minMaxSeq_50_22.txt" totalsRowFunction="custom" queryTableFieldId="24">
      <totalsRowFormula>AVERAGE(x__8[minMaxSeq_50_22.txt])</totalsRowFormula>
    </tableColumn>
    <tableColumn id="25" xr3:uid="{41262AE8-551E-481D-A437-2F9B3878D9A8}" uniqueName="25" name="minMaxSeq_50_23.txt" totalsRowFunction="custom" queryTableFieldId="25">
      <totalsRowFormula>AVERAGE(x__8[minMaxSeq_50_23.txt])</totalsRowFormula>
    </tableColumn>
    <tableColumn id="26" xr3:uid="{F2A6D41A-DC11-42DD-9F3A-886D1041220A}" uniqueName="26" name="minMaxSeq_50_24.txt" totalsRowFunction="custom" queryTableFieldId="26">
      <totalsRowFormula>AVERAGE(x__8[minMaxSeq_50_24.txt])</totalsRowFormula>
    </tableColumn>
    <tableColumn id="27" xr3:uid="{F50BEB52-2DF3-4178-86CA-88BA7236A60B}" uniqueName="27" name="minMaxSeq_50_25.txt" totalsRowFunction="custom" queryTableFieldId="27">
      <totalsRowFormula>AVERAGE(x__8[minMaxSeq_50_25.txt])</totalsRowFormula>
    </tableColumn>
    <tableColumn id="28" xr3:uid="{8DB04570-F034-46C3-A80F-437FDE97923E}" uniqueName="28" name="montePar_50_15.txt" totalsRowFunction="custom" queryTableFieldId="28">
      <totalsRowFormula>AVERAGE(x__8[montePar_50_15.txt])</totalsRowFormula>
    </tableColumn>
    <tableColumn id="29" xr3:uid="{DFDE7730-5793-480B-BEA1-D4E44715DE04}" uniqueName="29" name="montePar_50_16.txt" totalsRowFunction="custom" queryTableFieldId="29">
      <totalsRowFormula>AVERAGE(x__8[montePar_50_16.txt])</totalsRowFormula>
    </tableColumn>
    <tableColumn id="30" xr3:uid="{2032E4C0-89E6-4259-84BA-F25890783DF2}" uniqueName="30" name="montePar_50_17.txt" totalsRowFunction="custom" queryTableFieldId="30">
      <totalsRowFormula>AVERAGE(x__8[montePar_50_17.txt])</totalsRowFormula>
    </tableColumn>
    <tableColumn id="31" xr3:uid="{D54E8C93-A3F9-4821-AA75-43CFA7FC3147}" uniqueName="31" name="montePar_50_18.txt" totalsRowFunction="custom" queryTableFieldId="31">
      <totalsRowFormula>AVERAGE(x__8[montePar_50_18.txt])</totalsRowFormula>
    </tableColumn>
    <tableColumn id="32" xr3:uid="{64BA43A8-3D08-4F92-A7E9-8C8636F62410}" uniqueName="32" name="montePar_50_19.txt" totalsRowFunction="custom" queryTableFieldId="32">
      <totalsRowFormula>AVERAGE(x__8[montePar_50_19.txt])</totalsRowFormula>
    </tableColumn>
    <tableColumn id="33" xr3:uid="{C7335366-4D29-44DC-A00B-B07ED9C49620}" uniqueName="33" name="montePar_50_20.txt" totalsRowFunction="custom" queryTableFieldId="33">
      <totalsRowFormula>AVERAGE(x__8[montePar_50_20.txt])</totalsRowFormula>
    </tableColumn>
    <tableColumn id="34" xr3:uid="{FA0AEEC6-5FA6-43A7-AC9A-3DDFAF02C2B2}" uniqueName="34" name="montePar_50_21.txt" totalsRowFunction="custom" queryTableFieldId="34">
      <totalsRowFormula>AVERAGE(x__8[montePar_50_21.txt])</totalsRowFormula>
    </tableColumn>
    <tableColumn id="35" xr3:uid="{2563EFFA-CDD0-4FED-90ED-15323B22EC8B}" uniqueName="35" name="montePar_50_22.txt" totalsRowFunction="custom" queryTableFieldId="35">
      <totalsRowFormula>AVERAGE(x__8[montePar_50_22.txt])</totalsRowFormula>
    </tableColumn>
    <tableColumn id="36" xr3:uid="{1C9C91AD-A68C-4527-BBF0-05779B3DF44C}" uniqueName="36" name="montePar_50_23.txt" totalsRowFunction="custom" queryTableFieldId="36">
      <totalsRowFormula>AVERAGE(x__8[montePar_50_23.txt])</totalsRowFormula>
    </tableColumn>
    <tableColumn id="37" xr3:uid="{5E11FFFF-8588-46B9-BBCE-7B1311AF0613}" uniqueName="37" name="montePar_50_24.txt" totalsRowFunction="custom" queryTableFieldId="37">
      <totalsRowFormula>AVERAGE(x__8[montePar_50_24.txt])</totalsRowFormula>
    </tableColumn>
    <tableColumn id="38" xr3:uid="{2330BB90-08AE-477D-89E4-A92D95DB51BA}" uniqueName="38" name="montePar_50_25.txt" totalsRowFunction="custom" queryTableFieldId="38">
      <totalsRowFormula>AVERAGE(x__8[montePar_50_25.txt])</totalsRowFormula>
    </tableColumn>
    <tableColumn id="39" xr3:uid="{FBEC474B-D312-4DCC-B2E0-65E4508BB71F}" uniqueName="39" name="montePar_50_26.txt" totalsRowFunction="custom" queryTableFieldId="39">
      <totalsRowFormula>AVERAGE(x__8[montePar_50_26.txt])</totalsRowFormula>
    </tableColumn>
    <tableColumn id="40" xr3:uid="{64E3D3FA-0008-47C1-B6A8-4E2BE4258559}" uniqueName="40" name="montePar_50_27.txt" totalsRowFunction="custom" queryTableFieldId="40">
      <totalsRowFormula>AVERAGE(x__8[montePar_50_27.txt])</totalsRowFormula>
    </tableColumn>
    <tableColumn id="41" xr3:uid="{30A02C21-B8E8-4CB6-A88B-9790C05FCA71}" uniqueName="41" name="montePar_50_28.txt" totalsRowFunction="custom" queryTableFieldId="41">
      <totalsRowFormula>AVERAGE(x__8[montePar_50_28.txt])</totalsRowFormula>
    </tableColumn>
    <tableColumn id="42" xr3:uid="{D87424C2-F2E2-4782-A9C4-17D2D03DFD6C}" uniqueName="42" name="montePar_50_29.txt" totalsRowFunction="custom" queryTableFieldId="42">
      <totalsRowFormula>AVERAGE(x__8[montePar_50_29.txt])</totalsRowFormula>
    </tableColumn>
    <tableColumn id="43" xr3:uid="{716633B2-29A3-4D96-BD6A-41A7473F9A7C}" uniqueName="43" name="montePar_50_30.txt" totalsRowFunction="custom" queryTableFieldId="43">
      <totalsRowFormula>AVERAGE(x__8[montePar_50_30.txt])</totalsRowFormula>
    </tableColumn>
    <tableColumn id="44" xr3:uid="{1C85DB40-330F-4B1F-9346-7611A05A07BB}" uniqueName="44" name="monteSeq_50_15.txt" totalsRowFunction="custom" queryTableFieldId="44">
      <totalsRowFormula>AVERAGE(x__8[monteSeq_50_15.txt])</totalsRowFormula>
    </tableColumn>
    <tableColumn id="45" xr3:uid="{0A46B765-A912-472D-B470-A9B1FA761611}" uniqueName="45" name="monteSeq_50_16.txt" totalsRowFunction="custom" queryTableFieldId="45">
      <totalsRowFormula>AVERAGE(x__8[monteSeq_50_16.txt])</totalsRowFormula>
    </tableColumn>
    <tableColumn id="46" xr3:uid="{2202FAEB-C764-43B9-BD47-8EE2945C28E7}" uniqueName="46" name="monteSeq_50_17.txt" totalsRowFunction="custom" queryTableFieldId="46">
      <totalsRowFormula>AVERAGE(x__8[monteSeq_50_17.txt])</totalsRowFormula>
    </tableColumn>
    <tableColumn id="47" xr3:uid="{F385594C-AF1E-4D61-B2C4-FAAD7539FE2D}" uniqueName="47" name="monteSeq_50_18.txt" totalsRowFunction="custom" queryTableFieldId="47">
      <totalsRowFormula>AVERAGE(x__8[monteSeq_50_18.txt])</totalsRowFormula>
    </tableColumn>
    <tableColumn id="48" xr3:uid="{F3A91EDA-9B72-4BA8-9853-B7BE6DF7DFA1}" uniqueName="48" name="monteSeq_50_19.txt" totalsRowFunction="custom" queryTableFieldId="48">
      <totalsRowFormula>AVERAGE(x__8[monteSeq_50_19.txt])</totalsRowFormula>
    </tableColumn>
    <tableColumn id="49" xr3:uid="{776F919D-FEBA-49A0-AC90-2C795DC1864A}" uniqueName="49" name="monteSeq_50_20.txt" totalsRowFunction="custom" queryTableFieldId="49">
      <totalsRowFormula>AVERAGE(x__8[monteSeq_50_20.txt])</totalsRowFormula>
    </tableColumn>
    <tableColumn id="50" xr3:uid="{C07FBC19-5C26-4259-9D58-0D0D57846531}" uniqueName="50" name="monteSeq_50_21.txt" totalsRowFunction="custom" queryTableFieldId="50">
      <totalsRowFormula>AVERAGE(x__8[monteSeq_50_21.txt])</totalsRowFormula>
    </tableColumn>
    <tableColumn id="51" xr3:uid="{1808E48D-6219-462D-99E5-3E4F22F92840}" uniqueName="51" name="monteSeq_50_22.txt" totalsRowFunction="custom" queryTableFieldId="51">
      <totalsRowFormula>AVERAGE(x__8[monteSeq_50_22.txt])</totalsRowFormula>
    </tableColumn>
    <tableColumn id="52" xr3:uid="{DFFB1F65-7772-4C03-9AA8-4DFEC4711CBB}" uniqueName="52" name="monteSeq_50_23.txt" totalsRowFunction="custom" queryTableFieldId="52">
      <totalsRowFormula>AVERAGE(x__8[monteSeq_50_23.txt])</totalsRowFormula>
    </tableColumn>
    <tableColumn id="53" xr3:uid="{79FDC97A-197F-4236-92AD-E8749A350F1F}" uniqueName="53" name="monteSeq_50_24.txt" totalsRowFunction="custom" queryTableFieldId="53">
      <totalsRowFormula>AVERAGE(x__8[monteSeq_50_24.txt])</totalsRowFormula>
    </tableColumn>
    <tableColumn id="54" xr3:uid="{15C19513-E7A6-44C8-B0FE-24709D4C8CFA}" uniqueName="54" name="monteSeq_50_25.txt" totalsRowFunction="custom" queryTableFieldId="54">
      <totalsRowFormula>AVERAGE(x__8[monteSeq_50_25.txt])</totalsRow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EA95172-A057-44F3-9E66-41EE7A5397A0}" name="x__6" displayName="x__6" ref="A1:AF52" tableType="queryTable" totalsRowCount="1">
  <autoFilter ref="A1:AF51" xr:uid="{22A8F83C-2671-4E70-B331-3B25B2FA4F6A}"/>
  <tableColumns count="32">
    <tableColumn id="1" xr3:uid="{DDAA9B70-AC30-4CA1-BA06-A069DF2848EC}" uniqueName="1" name="minMaxPar_50_15.txt" totalsRowFunction="custom" queryTableFieldId="1">
      <totalsRowFormula>AVERAGE(x__6[minMaxPar_50_15.txt])</totalsRowFormula>
    </tableColumn>
    <tableColumn id="2" xr3:uid="{AFFE1802-317E-4172-9902-CA4E98289D1D}" uniqueName="2" name="minMaxPar_50_16.txt" totalsRowFunction="custom" queryTableFieldId="2">
      <totalsRowFormula>AVERAGE(x__6[minMaxPar_50_16.txt])</totalsRowFormula>
    </tableColumn>
    <tableColumn id="3" xr3:uid="{DAE4FBCB-3F12-4186-ACE3-D4052C7676A9}" uniqueName="3" name="minMaxPar_50_17.txt" totalsRowFunction="custom" queryTableFieldId="3">
      <totalsRowFormula>AVERAGE(x__6[minMaxPar_50_17.txt])</totalsRowFormula>
    </tableColumn>
    <tableColumn id="4" xr3:uid="{66B7B9C6-42F1-4482-8CF4-6CADC1C53342}" uniqueName="4" name="minMaxPar_50_18.txt" totalsRowFunction="custom" queryTableFieldId="4">
      <totalsRowFormula>AVERAGE(x__6[minMaxPar_50_18.txt])</totalsRowFormula>
    </tableColumn>
    <tableColumn id="5" xr3:uid="{E65240FE-5772-43DC-88A3-DD7BD4C37EE5}" uniqueName="5" name="minMaxPar_50_19.txt" totalsRowFunction="custom" queryTableFieldId="5">
      <totalsRowFormula>AVERAGE(x__6[minMaxPar_50_19.txt])</totalsRowFormula>
    </tableColumn>
    <tableColumn id="6" xr3:uid="{AD1E07DD-D855-454C-B4F1-11A065F64686}" uniqueName="6" name="minMaxPar_50_20.txt" totalsRowFunction="custom" queryTableFieldId="6">
      <totalsRowFormula>AVERAGE(x__6[minMaxPar_50_20.txt])</totalsRowFormula>
    </tableColumn>
    <tableColumn id="7" xr3:uid="{9B90D2E1-1819-4BB1-BD44-E5DF0906B23F}" uniqueName="7" name="minMaxPar_50_21.txt" totalsRowFunction="custom" queryTableFieldId="7">
      <totalsRowFormula>AVERAGE(x__6[minMaxPar_50_21.txt])</totalsRowFormula>
    </tableColumn>
    <tableColumn id="8" xr3:uid="{5D674776-C439-4A94-A3AA-04DB957D6DC2}" uniqueName="8" name="minMaxPar_50_22.txt" totalsRowFunction="custom" queryTableFieldId="8">
      <totalsRowFormula>AVERAGE(x__6[minMaxPar_50_22.txt])</totalsRowFormula>
    </tableColumn>
    <tableColumn id="9" xr3:uid="{A10ADC96-23A7-4D0F-9627-2F6413419FC5}" uniqueName="9" name="minMaxPar_50_23.txt" totalsRowFunction="custom" queryTableFieldId="9">
      <totalsRowFormula>AVERAGE(x__6[minMaxPar_50_23.txt])</totalsRowFormula>
    </tableColumn>
    <tableColumn id="10" xr3:uid="{810F4952-E832-4114-991C-FF4A627D318E}" uniqueName="10" name="minMaxPar_50_24.txt" totalsRowFunction="custom" queryTableFieldId="10">
      <totalsRowFormula>AVERAGE(x__6[minMaxPar_50_24.txt])</totalsRowFormula>
    </tableColumn>
    <tableColumn id="11" xr3:uid="{C18F1DE6-863D-4C85-AC30-A36A230A7075}" uniqueName="11" name="minMaxPar_50_25.txt" totalsRowFunction="custom" queryTableFieldId="11">
      <totalsRowFormula>AVERAGE(x__6[minMaxPar_50_25.txt])</totalsRowFormula>
    </tableColumn>
    <tableColumn id="12" xr3:uid="{9DA3E93C-DE0E-4821-8F46-62E58BE3BE20}" uniqueName="12" name="minMaxPar_50_26.txt" totalsRowFunction="custom" queryTableFieldId="12">
      <totalsRowFormula>AVERAGE(x__6[minMaxPar_50_26.txt])</totalsRowFormula>
    </tableColumn>
    <tableColumn id="13" xr3:uid="{DCC7E711-EF97-4DFC-8B38-3301014F50FA}" uniqueName="13" name="minMaxPar_50_27.txt" totalsRowFunction="custom" queryTableFieldId="13">
      <totalsRowFormula>AVERAGE(x__6[minMaxPar_50_27.txt])</totalsRowFormula>
    </tableColumn>
    <tableColumn id="14" xr3:uid="{7BB652F8-D4BE-498D-A191-D98C353B9FF9}" uniqueName="14" name="minMaxPar_50_28.txt" totalsRowFunction="custom" queryTableFieldId="14">
      <totalsRowFormula>AVERAGE(x__6[minMaxPar_50_28.txt])</totalsRowFormula>
    </tableColumn>
    <tableColumn id="15" xr3:uid="{1FA6639F-7A47-4BBE-8016-551085F63FD4}" uniqueName="15" name="minMaxPar_50_29.txt" totalsRowFunction="custom" queryTableFieldId="15">
      <totalsRowFormula>AVERAGE(x__6[minMaxPar_50_29.txt])</totalsRowFormula>
    </tableColumn>
    <tableColumn id="16" xr3:uid="{1B2943B8-3C9B-4F42-9B92-572F63B897EA}" uniqueName="16" name="minMaxPar_50_30.txt" totalsRowFunction="custom" queryTableFieldId="16">
      <totalsRowFormula>AVERAGE(x__6[minMaxPar_50_30.txt])</totalsRowFormula>
    </tableColumn>
    <tableColumn id="17" xr3:uid="{10F95A4F-DBD9-4EF5-B687-F64D74476FC0}" uniqueName="17" name="montePar_50_15.txt" totalsRowFunction="custom" queryTableFieldId="17">
      <totalsRowFormula>AVERAGE(x__6[montePar_50_15.txt])</totalsRowFormula>
    </tableColumn>
    <tableColumn id="18" xr3:uid="{F452A2FA-D9D9-436F-8C9A-682B9A4068A7}" uniqueName="18" name="montePar_50_16.txt" totalsRowFunction="custom" queryTableFieldId="18">
      <totalsRowFormula>AVERAGE(x__6[montePar_50_16.txt])</totalsRowFormula>
    </tableColumn>
    <tableColumn id="19" xr3:uid="{7E234177-5502-4439-80F2-0F2915E04CD7}" uniqueName="19" name="montePar_50_17.txt" totalsRowFunction="custom" queryTableFieldId="19">
      <totalsRowFormula>AVERAGE(x__6[montePar_50_17.txt])</totalsRowFormula>
    </tableColumn>
    <tableColumn id="20" xr3:uid="{10DD5CA7-832D-4BF0-957D-A8E4B7E6375D}" uniqueName="20" name="montePar_50_18.txt" totalsRowFunction="custom" queryTableFieldId="20">
      <totalsRowFormula>AVERAGE(x__6[montePar_50_18.txt])</totalsRowFormula>
    </tableColumn>
    <tableColumn id="21" xr3:uid="{68E82AE2-7397-4CF9-B19F-F3D0163F7B80}" uniqueName="21" name="montePar_50_19.txt" totalsRowFunction="custom" queryTableFieldId="21">
      <totalsRowFormula>AVERAGE(x__6[montePar_50_19.txt])</totalsRowFormula>
    </tableColumn>
    <tableColumn id="22" xr3:uid="{6132A563-41D0-444D-A91A-0EACE6B2248F}" uniqueName="22" name="montePar_50_20.txt" totalsRowFunction="custom" queryTableFieldId="22">
      <totalsRowFormula>AVERAGE(x__6[montePar_50_20.txt])</totalsRowFormula>
    </tableColumn>
    <tableColumn id="23" xr3:uid="{7B59D3B0-CF9A-49FD-A84F-9A3738837BAA}" uniqueName="23" name="montePar_50_21.txt" totalsRowFunction="custom" queryTableFieldId="23">
      <totalsRowFormula>AVERAGE(x__6[montePar_50_21.txt])</totalsRowFormula>
    </tableColumn>
    <tableColumn id="24" xr3:uid="{C4E178BE-ED14-4F0E-8016-0AC2252014DB}" uniqueName="24" name="montePar_50_22.txt" totalsRowFunction="custom" queryTableFieldId="24">
      <totalsRowFormula>AVERAGE(x__6[montePar_50_22.txt])</totalsRowFormula>
    </tableColumn>
    <tableColumn id="25" xr3:uid="{DD33649E-4EBB-48A0-9A8C-A12ADC974A84}" uniqueName="25" name="montePar_50_23.txt" totalsRowFunction="custom" queryTableFieldId="25">
      <totalsRowFormula>AVERAGE(x__6[montePar_50_23.txt])</totalsRowFormula>
    </tableColumn>
    <tableColumn id="26" xr3:uid="{F80E2B97-7EE1-4E5C-A2C7-C4A2B70C5A53}" uniqueName="26" name="montePar_50_24.txt" totalsRowFunction="custom" queryTableFieldId="26">
      <totalsRowFormula>AVERAGE(x__6[montePar_50_24.txt])</totalsRowFormula>
    </tableColumn>
    <tableColumn id="27" xr3:uid="{774F55F9-241C-49F6-A314-03008EA6816C}" uniqueName="27" name="montePar_50_25.txt" totalsRowFunction="custom" queryTableFieldId="27">
      <totalsRowFormula>AVERAGE(x__6[montePar_50_25.txt])</totalsRowFormula>
    </tableColumn>
    <tableColumn id="28" xr3:uid="{E44DD536-C4D9-4C71-BF14-4190D4742DD0}" uniqueName="28" name="montePar_50_26.txt" totalsRowFunction="custom" queryTableFieldId="28">
      <totalsRowFormula>AVERAGE(x__6[montePar_50_26.txt])</totalsRowFormula>
    </tableColumn>
    <tableColumn id="29" xr3:uid="{57A2344A-7944-4E26-9DD4-D02252463CE5}" uniqueName="29" name="montePar_50_27.txt" totalsRowFunction="custom" queryTableFieldId="29">
      <totalsRowFormula>AVERAGE(x__6[montePar_50_27.txt])</totalsRowFormula>
    </tableColumn>
    <tableColumn id="30" xr3:uid="{F0930236-D0B5-4CC5-96D1-1CA04D3EE68D}" uniqueName="30" name="montePar_50_28.txt" totalsRowFunction="custom" queryTableFieldId="30">
      <totalsRowFormula>AVERAGE(x__6[montePar_50_28.txt])</totalsRowFormula>
    </tableColumn>
    <tableColumn id="31" xr3:uid="{A475E251-F8A3-434B-A8D6-DFDB56B72FEB}" uniqueName="31" name="montePar_50_29.txt" totalsRowFunction="custom" queryTableFieldId="31">
      <totalsRowFormula>AVERAGE(x__6[montePar_50_29.txt])</totalsRowFormula>
    </tableColumn>
    <tableColumn id="32" xr3:uid="{31DC3E1E-8C1A-4D71-B69D-7D4FF5C63419}" uniqueName="32" name="montePar_50_30.txt" totalsRowFunction="custom" queryTableFieldId="32">
      <totalsRowFormula>AVERAGE(x__6[montePar_50_30.txt])</totalsRow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293AEFC-2FC8-4829-B5E5-87A309DCAE9E}" name="x__5" displayName="x__5" ref="A1:AF52" tableType="queryTable" totalsRowCount="1">
  <autoFilter ref="A1:AF51" xr:uid="{680F093E-CEE9-443C-8EA7-365DB37C49A4}"/>
  <tableColumns count="32">
    <tableColumn id="1" xr3:uid="{A8A6CCBE-70F8-4A25-B50D-6EF55F1B76C5}" uniqueName="1" name="minMaxPar_50_15.txt" totalsRowFunction="custom" queryTableFieldId="1">
      <totalsRowFormula>AVERAGE(x__5[minMaxPar_50_15.txt])</totalsRowFormula>
    </tableColumn>
    <tableColumn id="2" xr3:uid="{3DC33AB1-6478-42E0-8E59-32ABF81AEA58}" uniqueName="2" name="minMaxPar_50_16.txt" totalsRowFunction="custom" queryTableFieldId="2">
      <totalsRowFormula>AVERAGE(x__5[minMaxPar_50_16.txt])</totalsRowFormula>
    </tableColumn>
    <tableColumn id="3" xr3:uid="{F80707C7-04B7-47C1-98AE-E03B808862AB}" uniqueName="3" name="minMaxPar_50_17.txt" totalsRowFunction="custom" queryTableFieldId="3">
      <totalsRowFormula>AVERAGE(x__5[minMaxPar_50_17.txt])</totalsRowFormula>
    </tableColumn>
    <tableColumn id="4" xr3:uid="{3B75F60F-CB97-4D79-BC77-4D64225EDAB4}" uniqueName="4" name="minMaxPar_50_18.txt" totalsRowFunction="custom" queryTableFieldId="4">
      <totalsRowFormula>AVERAGE(x__5[minMaxPar_50_18.txt])</totalsRowFormula>
    </tableColumn>
    <tableColumn id="5" xr3:uid="{47BFD0D1-49C8-47F8-B34D-0B93006802B6}" uniqueName="5" name="minMaxPar_50_19.txt" totalsRowFunction="custom" queryTableFieldId="5">
      <totalsRowFormula>AVERAGE(x__5[minMaxPar_50_19.txt])</totalsRowFormula>
    </tableColumn>
    <tableColumn id="6" xr3:uid="{BB58761F-FCE8-4C6D-9B97-56A20C113BEE}" uniqueName="6" name="minMaxPar_50_20.txt" totalsRowFunction="custom" queryTableFieldId="6">
      <totalsRowFormula>AVERAGE(x__5[minMaxPar_50_20.txt])</totalsRowFormula>
    </tableColumn>
    <tableColumn id="7" xr3:uid="{E657228B-DF73-4F73-85AA-EB3FCA4DB082}" uniqueName="7" name="minMaxPar_50_21.txt" totalsRowFunction="custom" queryTableFieldId="7">
      <totalsRowFormula>AVERAGE(x__5[minMaxPar_50_21.txt])</totalsRowFormula>
    </tableColumn>
    <tableColumn id="8" xr3:uid="{45968122-1F60-4848-BB29-FBFF51393C34}" uniqueName="8" name="minMaxPar_50_22.txt" totalsRowFunction="custom" queryTableFieldId="8">
      <totalsRowFormula>AVERAGE(x__5[minMaxPar_50_22.txt])</totalsRowFormula>
    </tableColumn>
    <tableColumn id="9" xr3:uid="{16B4279D-4DB8-46C2-A085-DC989B5A37D4}" uniqueName="9" name="minMaxPar_50_23.txt" totalsRowFunction="custom" queryTableFieldId="9">
      <totalsRowFormula>AVERAGE(x__5[minMaxPar_50_23.txt])</totalsRowFormula>
    </tableColumn>
    <tableColumn id="10" xr3:uid="{6D406049-9E9C-4BA1-99DB-A0D41C997FC0}" uniqueName="10" name="minMaxPar_50_24.txt" totalsRowFunction="custom" queryTableFieldId="10">
      <totalsRowFormula>AVERAGE(x__5[minMaxPar_50_24.txt])</totalsRowFormula>
    </tableColumn>
    <tableColumn id="11" xr3:uid="{B332B6E6-01D6-41E4-81C9-D189CF094D1C}" uniqueName="11" name="minMaxPar_50_25.txt" totalsRowFunction="custom" queryTableFieldId="11">
      <totalsRowFormula>AVERAGE(x__5[minMaxPar_50_25.txt])</totalsRowFormula>
    </tableColumn>
    <tableColumn id="12" xr3:uid="{A827A284-51F2-402B-9159-CC1D3BE6613C}" uniqueName="12" name="minMaxPar_50_26.txt" totalsRowFunction="custom" queryTableFieldId="12">
      <totalsRowFormula>AVERAGE(x__5[minMaxPar_50_26.txt])</totalsRowFormula>
    </tableColumn>
    <tableColumn id="13" xr3:uid="{62894E96-E36F-4C98-AA9C-ED55EF4662E0}" uniqueName="13" name="minMaxPar_50_27.txt" totalsRowFunction="custom" queryTableFieldId="13">
      <totalsRowFormula>AVERAGE(x__5[minMaxPar_50_27.txt])</totalsRowFormula>
    </tableColumn>
    <tableColumn id="14" xr3:uid="{E9524524-229B-4999-9060-7D553CF5B9E2}" uniqueName="14" name="minMaxPar_50_28.txt" totalsRowFunction="custom" queryTableFieldId="14">
      <totalsRowFormula>AVERAGE(x__5[minMaxPar_50_28.txt])</totalsRowFormula>
    </tableColumn>
    <tableColumn id="15" xr3:uid="{30E40196-7EBB-454C-B328-315A4C292550}" uniqueName="15" name="minMaxPar_50_29.txt" totalsRowFunction="custom" queryTableFieldId="15">
      <totalsRowFormula>AVERAGE(x__5[minMaxPar_50_29.txt])</totalsRowFormula>
    </tableColumn>
    <tableColumn id="16" xr3:uid="{BB508195-FF0E-44E0-ABC0-BD8C5C71AC91}" uniqueName="16" name="minMaxPar_50_30.txt" totalsRowFunction="custom" queryTableFieldId="16">
      <totalsRowFormula>AVERAGE(x__5[minMaxPar_50_30.txt])</totalsRowFormula>
    </tableColumn>
    <tableColumn id="17" xr3:uid="{17476B09-696A-495D-8C11-274ED23A7508}" uniqueName="17" name="montePar_50_15.txt" totalsRowFunction="custom" queryTableFieldId="17">
      <totalsRowFormula>AVERAGE(x__5[montePar_50_15.txt])</totalsRowFormula>
    </tableColumn>
    <tableColumn id="18" xr3:uid="{47EDD525-F6E9-4A26-A20A-AEE4888B4279}" uniqueName="18" name="montePar_50_16.txt" totalsRowFunction="custom" queryTableFieldId="18">
      <totalsRowFormula>AVERAGE(x__5[montePar_50_16.txt])</totalsRowFormula>
    </tableColumn>
    <tableColumn id="19" xr3:uid="{B75AED94-E867-4093-8FF9-AEDAA7DEFFE9}" uniqueName="19" name="montePar_50_17.txt" totalsRowFunction="custom" queryTableFieldId="19">
      <totalsRowFormula>AVERAGE(x__5[montePar_50_17.txt])</totalsRowFormula>
    </tableColumn>
    <tableColumn id="20" xr3:uid="{DC1C1333-0F3B-4143-B14E-C86A79C44F39}" uniqueName="20" name="montePar_50_18.txt" totalsRowFunction="custom" queryTableFieldId="20">
      <totalsRowFormula>AVERAGE(x__5[montePar_50_18.txt])</totalsRowFormula>
    </tableColumn>
    <tableColumn id="21" xr3:uid="{4C1608F3-17C5-4284-8435-57B027E20EBE}" uniqueName="21" name="montePar_50_19.txt" totalsRowFunction="custom" queryTableFieldId="21">
      <totalsRowFormula>AVERAGE(x__5[montePar_50_19.txt])</totalsRowFormula>
    </tableColumn>
    <tableColumn id="22" xr3:uid="{BE98834A-0963-4B61-AAE2-4E96303C8595}" uniqueName="22" name="montePar_50_20.txt" totalsRowFunction="custom" queryTableFieldId="22">
      <totalsRowFormula>AVERAGE(x__5[montePar_50_20.txt])</totalsRowFormula>
    </tableColumn>
    <tableColumn id="23" xr3:uid="{25C9D4F8-65A0-4F21-A6BD-86BF667A5084}" uniqueName="23" name="montePar_50_21.txt" totalsRowFunction="custom" queryTableFieldId="23">
      <totalsRowFormula>AVERAGE(x__5[montePar_50_21.txt])</totalsRowFormula>
    </tableColumn>
    <tableColumn id="24" xr3:uid="{6BBCB979-096B-436A-8D33-19771E3B339F}" uniqueName="24" name="montePar_50_22.txt" totalsRowFunction="custom" queryTableFieldId="24">
      <totalsRowFormula>AVERAGE(x__5[montePar_50_22.txt])</totalsRowFormula>
    </tableColumn>
    <tableColumn id="25" xr3:uid="{AC441EA3-B773-458C-8574-514B7CD23814}" uniqueName="25" name="montePar_50_23.txt" totalsRowFunction="custom" queryTableFieldId="25">
      <totalsRowFormula>AVERAGE(x__5[montePar_50_23.txt])</totalsRowFormula>
    </tableColumn>
    <tableColumn id="26" xr3:uid="{54CCADAF-72BA-4082-B65C-CD720EAD0402}" uniqueName="26" name="montePar_50_24.txt" totalsRowFunction="custom" queryTableFieldId="26">
      <totalsRowFormula>AVERAGE(x__5[montePar_50_24.txt])</totalsRowFormula>
    </tableColumn>
    <tableColumn id="27" xr3:uid="{454B73A7-CFB7-431A-9864-7B86164624B7}" uniqueName="27" name="montePar_50_25.txt" totalsRowFunction="custom" queryTableFieldId="27">
      <totalsRowFormula>AVERAGE(x__5[montePar_50_25.txt])</totalsRowFormula>
    </tableColumn>
    <tableColumn id="28" xr3:uid="{1C3AC22A-CCFB-4AE8-9343-E814ED0CC918}" uniqueName="28" name="montePar_50_26.txt" totalsRowFunction="custom" queryTableFieldId="28">
      <totalsRowFormula>AVERAGE(x__5[montePar_50_26.txt])</totalsRowFormula>
    </tableColumn>
    <tableColumn id="29" xr3:uid="{C54A6FA6-D7BA-4B66-A4BB-B4767A74BC41}" uniqueName="29" name="montePar_50_27.txt" totalsRowFunction="custom" queryTableFieldId="29">
      <totalsRowFormula>AVERAGE(x__5[montePar_50_27.txt])</totalsRowFormula>
    </tableColumn>
    <tableColumn id="30" xr3:uid="{C87E8061-7453-43E6-B9B8-59C5DB01BC7A}" uniqueName="30" name="montePar_50_28.txt" totalsRowFunction="custom" queryTableFieldId="30">
      <totalsRowFormula>AVERAGE(x__5[montePar_50_28.txt])</totalsRowFormula>
    </tableColumn>
    <tableColumn id="31" xr3:uid="{150857A3-2489-47C2-B036-1765A7CA0525}" uniqueName="31" name="montePar_50_29.txt" totalsRowFunction="custom" queryTableFieldId="31">
      <totalsRowFormula>AVERAGE(x__5[montePar_50_29.txt])</totalsRowFormula>
    </tableColumn>
    <tableColumn id="32" xr3:uid="{65BA59A8-74EA-4F3D-833D-F6AB2FE481C6}" uniqueName="32" name="montePar_50_30.txt" totalsRowFunction="custom" queryTableFieldId="32">
      <totalsRowFormula>AVERAGE(x__5[montePar_50_30.txt])</totalsRow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C34FABF-35B7-404F-AEF5-3C48291D09B2}" name="x__4" displayName="x__4" ref="A1:AF52" tableType="queryTable" totalsRowCount="1">
  <autoFilter ref="A1:AF51" xr:uid="{E929FDF7-E90B-4B35-9A55-61CE95A9B1DA}"/>
  <tableColumns count="32">
    <tableColumn id="1" xr3:uid="{D45652B7-38A8-41EB-9AC1-ED9A922540EB}" uniqueName="1" name="minMaxPar_50_15.txt" totalsRowFunction="custom" queryTableFieldId="1">
      <totalsRowFormula>AVERAGE(x__4[minMaxPar_50_15.txt])</totalsRowFormula>
    </tableColumn>
    <tableColumn id="2" xr3:uid="{0166E307-2B5B-4E09-B48E-AA57325FCA98}" uniqueName="2" name="minMaxPar_50_16.txt" totalsRowFunction="custom" queryTableFieldId="2">
      <totalsRowFormula>AVERAGE(x__4[minMaxPar_50_16.txt])</totalsRowFormula>
    </tableColumn>
    <tableColumn id="3" xr3:uid="{569BEF04-2FC8-47D9-9744-14F3E24F0DC8}" uniqueName="3" name="minMaxPar_50_17.txt" totalsRowFunction="custom" queryTableFieldId="3">
      <totalsRowFormula>AVERAGE(x__4[minMaxPar_50_17.txt])</totalsRowFormula>
    </tableColumn>
    <tableColumn id="4" xr3:uid="{98BD6F23-39A3-44DE-AC12-07202B870CE5}" uniqueName="4" name="minMaxPar_50_18.txt" totalsRowFunction="custom" queryTableFieldId="4">
      <totalsRowFormula>AVERAGE(x__4[minMaxPar_50_18.txt])</totalsRowFormula>
    </tableColumn>
    <tableColumn id="5" xr3:uid="{7ABEA5E7-22E9-4D1C-B665-BDE50420D898}" uniqueName="5" name="minMaxPar_50_19.txt" totalsRowFunction="custom" queryTableFieldId="5">
      <totalsRowFormula>AVERAGE(x__4[minMaxPar_50_19.txt])</totalsRowFormula>
    </tableColumn>
    <tableColumn id="6" xr3:uid="{52134B3A-989A-41D0-A4D7-5B3F835FF2F8}" uniqueName="6" name="minMaxPar_50_20.txt" totalsRowFunction="custom" queryTableFieldId="6">
      <totalsRowFormula>AVERAGE(x__4[minMaxPar_50_20.txt])</totalsRowFormula>
    </tableColumn>
    <tableColumn id="7" xr3:uid="{C9FD1164-43FA-45DC-AA80-5D00F2D0F636}" uniqueName="7" name="minMaxPar_50_21.txt" totalsRowFunction="custom" queryTableFieldId="7">
      <totalsRowFormula>AVERAGE(x__4[minMaxPar_50_21.txt])</totalsRowFormula>
    </tableColumn>
    <tableColumn id="8" xr3:uid="{D0E3C276-B538-4D63-9ACF-362ED99F47AA}" uniqueName="8" name="minMaxPar_50_22.txt" totalsRowFunction="custom" queryTableFieldId="8">
      <totalsRowFormula>AVERAGE(x__4[minMaxPar_50_22.txt])</totalsRowFormula>
    </tableColumn>
    <tableColumn id="9" xr3:uid="{B4B33733-851C-4637-9552-8C75EBAB670F}" uniqueName="9" name="minMaxPar_50_23.txt" totalsRowFunction="custom" queryTableFieldId="9">
      <totalsRowFormula>AVERAGE(x__4[minMaxPar_50_23.txt])</totalsRowFormula>
    </tableColumn>
    <tableColumn id="10" xr3:uid="{7C8F391A-5AEA-4B39-A1E0-8E107FED0BBA}" uniqueName="10" name="minMaxPar_50_24.txt" totalsRowFunction="custom" queryTableFieldId="10">
      <totalsRowFormula>AVERAGE(x__4[minMaxPar_50_24.txt])</totalsRowFormula>
    </tableColumn>
    <tableColumn id="11" xr3:uid="{21E0541A-D0D8-40A5-9CE5-C16658B2FC4C}" uniqueName="11" name="minMaxPar_50_25.txt" totalsRowFunction="custom" queryTableFieldId="11">
      <totalsRowFormula>AVERAGE(x__4[minMaxPar_50_25.txt])</totalsRowFormula>
    </tableColumn>
    <tableColumn id="12" xr3:uid="{9BF1BA6D-39CC-49D0-BA1C-D07A8A625F1B}" uniqueName="12" name="minMaxPar_50_26.txt" totalsRowFunction="custom" queryTableFieldId="12">
      <totalsRowFormula>AVERAGE(x__4[minMaxPar_50_26.txt])</totalsRowFormula>
    </tableColumn>
    <tableColumn id="13" xr3:uid="{D2FD4AA2-FB1A-4070-A9D8-9BC821DF3F9C}" uniqueName="13" name="minMaxPar_50_27.txt" totalsRowFunction="custom" queryTableFieldId="13">
      <totalsRowFormula>AVERAGE(x__4[minMaxPar_50_27.txt])</totalsRowFormula>
    </tableColumn>
    <tableColumn id="14" xr3:uid="{496D8A90-A026-45F8-B08C-87C3B6BDA560}" uniqueName="14" name="minMaxPar_50_28.txt" totalsRowFunction="custom" queryTableFieldId="14">
      <totalsRowFormula>AVERAGE(x__4[minMaxPar_50_28.txt])</totalsRowFormula>
    </tableColumn>
    <tableColumn id="15" xr3:uid="{A8C6C621-0F96-4590-B1D0-46F38E12A8B0}" uniqueName="15" name="minMaxPar_50_29.txt" totalsRowFunction="custom" queryTableFieldId="15">
      <totalsRowFormula>AVERAGE(x__4[minMaxPar_50_29.txt])</totalsRowFormula>
    </tableColumn>
    <tableColumn id="16" xr3:uid="{E75940DE-9488-46AC-8C0E-37179A09AA09}" uniqueName="16" name="minMaxPar_50_30.txt" totalsRowFunction="custom" queryTableFieldId="16">
      <totalsRowFormula>AVERAGE(x__4[minMaxPar_50_30.txt])</totalsRowFormula>
    </tableColumn>
    <tableColumn id="17" xr3:uid="{075392A7-2B0C-4CAD-9802-F0E04611F7E0}" uniqueName="17" name="montePar_50_15.txt" totalsRowFunction="custom" queryTableFieldId="17">
      <totalsRowFormula>AVERAGE(x__4[montePar_50_15.txt])</totalsRowFormula>
    </tableColumn>
    <tableColumn id="18" xr3:uid="{0D55FF86-34F1-4A7F-A0A8-C9D2808E90BF}" uniqueName="18" name="montePar_50_16.txt" totalsRowFunction="custom" queryTableFieldId="18">
      <totalsRowFormula>AVERAGE(x__4[montePar_50_16.txt])</totalsRowFormula>
    </tableColumn>
    <tableColumn id="19" xr3:uid="{7A54740A-1ADA-49D3-9EE4-DC788858E7BE}" uniqueName="19" name="montePar_50_17.txt" totalsRowFunction="custom" queryTableFieldId="19">
      <totalsRowFormula>AVERAGE(x__4[montePar_50_17.txt])</totalsRowFormula>
    </tableColumn>
    <tableColumn id="20" xr3:uid="{1C7703E8-A237-402B-A690-B100881A1B44}" uniqueName="20" name="montePar_50_18.txt" totalsRowFunction="custom" queryTableFieldId="20">
      <totalsRowFormula>AVERAGE(x__4[montePar_50_18.txt])</totalsRowFormula>
    </tableColumn>
    <tableColumn id="21" xr3:uid="{F379BA0D-F93F-4077-9972-C78662268F10}" uniqueName="21" name="montePar_50_19.txt" totalsRowFunction="custom" queryTableFieldId="21">
      <totalsRowFormula>AVERAGE(x__4[montePar_50_19.txt])</totalsRowFormula>
    </tableColumn>
    <tableColumn id="22" xr3:uid="{9E70D688-E8A5-411B-900A-267B6F4D3B56}" uniqueName="22" name="montePar_50_20.txt" totalsRowFunction="custom" queryTableFieldId="22">
      <totalsRowFormula>AVERAGE(x__4[montePar_50_20.txt])</totalsRowFormula>
    </tableColumn>
    <tableColumn id="23" xr3:uid="{4094682A-BADE-4275-B28A-2F0C0084A89F}" uniqueName="23" name="montePar_50_21.txt" totalsRowFunction="custom" queryTableFieldId="23">
      <totalsRowFormula>AVERAGE(x__4[montePar_50_21.txt])</totalsRowFormula>
    </tableColumn>
    <tableColumn id="24" xr3:uid="{392B54BC-6877-4A24-8F0E-691A5AF3CB13}" uniqueName="24" name="montePar_50_22.txt" totalsRowFunction="custom" queryTableFieldId="24">
      <totalsRowFormula>AVERAGE(x__4[montePar_50_22.txt])</totalsRowFormula>
    </tableColumn>
    <tableColumn id="25" xr3:uid="{CA95A977-A5A8-4845-BDDE-42BAA0683313}" uniqueName="25" name="montePar_50_23.txt" totalsRowFunction="custom" queryTableFieldId="25">
      <totalsRowFormula>AVERAGE(x__4[montePar_50_23.txt])</totalsRowFormula>
    </tableColumn>
    <tableColumn id="26" xr3:uid="{315D5639-2633-4F9C-9F6F-270639099421}" uniqueName="26" name="montePar_50_24.txt" totalsRowFunction="custom" queryTableFieldId="26">
      <totalsRowFormula>AVERAGE(x__4[montePar_50_24.txt])</totalsRowFormula>
    </tableColumn>
    <tableColumn id="27" xr3:uid="{3A76EBED-461A-4AD5-B94B-9F4FFB820DA2}" uniqueName="27" name="montePar_50_25.txt" totalsRowFunction="custom" queryTableFieldId="27">
      <totalsRowFormula>AVERAGE(x__4[montePar_50_25.txt])</totalsRowFormula>
    </tableColumn>
    <tableColumn id="28" xr3:uid="{3666B78F-C99F-4AB0-8D40-938D4578D88D}" uniqueName="28" name="montePar_50_26.txt" totalsRowFunction="custom" queryTableFieldId="28">
      <totalsRowFormula>AVERAGE(x__4[montePar_50_26.txt])</totalsRowFormula>
    </tableColumn>
    <tableColumn id="29" xr3:uid="{FA331BAA-A9FB-44C4-98BD-9E0DD9E5A9F2}" uniqueName="29" name="montePar_50_27.txt" totalsRowFunction="custom" queryTableFieldId="29">
      <totalsRowFormula>AVERAGE(x__4[montePar_50_27.txt])</totalsRowFormula>
    </tableColumn>
    <tableColumn id="30" xr3:uid="{9E5DE9C5-026B-4CB8-B83C-ED4626D79032}" uniqueName="30" name="montePar_50_28.txt" totalsRowFunction="custom" queryTableFieldId="30">
      <totalsRowFormula>AVERAGE(x__4[montePar_50_28.txt])</totalsRowFormula>
    </tableColumn>
    <tableColumn id="31" xr3:uid="{F3575797-3BA6-4F46-8E33-4106342B7070}" uniqueName="31" name="montePar_50_29.txt" totalsRowFunction="custom" queryTableFieldId="31">
      <totalsRowFormula>AVERAGE(x__4[montePar_50_29.txt])</totalsRowFormula>
    </tableColumn>
    <tableColumn id="32" xr3:uid="{7EB44203-BE1E-4773-AB9C-E7E55CFC50A4}" uniqueName="32" name="montePar_50_30.txt" totalsRowFunction="custom" queryTableFieldId="32">
      <totalsRowFormula>AVERAGE(x__4[montePar_50_30.txt])</totalsRowFormula>
    </tableColumn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599E5FB-AC12-4BA1-BF51-4061B0B4D20D}" name="x__3" displayName="x__3" ref="A1:AF52" tableType="queryTable" totalsRowCount="1">
  <autoFilter ref="A1:AF51" xr:uid="{BA310008-A680-4CBE-8170-25D67073C1C1}"/>
  <tableColumns count="32">
    <tableColumn id="1" xr3:uid="{33BFFBB9-784A-4A45-B4EE-A2B7CAE56F3B}" uniqueName="1" name="minMaxPar_50_15.txt" totalsRowFunction="average" queryTableFieldId="1"/>
    <tableColumn id="2" xr3:uid="{3F83BC0A-3CB7-46E9-ACD0-46F0A98DF891}" uniqueName="2" name="minMaxPar_50_16.txt" totalsRowFunction="average" queryTableFieldId="2"/>
    <tableColumn id="3" xr3:uid="{5EA62E09-2344-4528-9709-A883AC37F93C}" uniqueName="3" name="minMaxPar_50_17.txt" totalsRowFunction="average" queryTableFieldId="3"/>
    <tableColumn id="4" xr3:uid="{96600045-ACE5-44E6-A9B4-C51228D6FCA1}" uniqueName="4" name="minMaxPar_50_18.txt" totalsRowFunction="average" queryTableFieldId="4"/>
    <tableColumn id="5" xr3:uid="{8AB17BBE-01D3-43A5-B7DB-69EA6BAC9064}" uniqueName="5" name="minMaxPar_50_19.txt" totalsRowFunction="average" queryTableFieldId="5"/>
    <tableColumn id="6" xr3:uid="{DE561EF1-F6CC-4900-9D4F-8CDE1E7079F8}" uniqueName="6" name="minMaxPar_50_20.txt" totalsRowFunction="average" queryTableFieldId="6"/>
    <tableColumn id="7" xr3:uid="{349210B9-3441-4C61-B0D8-3716E013F0B8}" uniqueName="7" name="minMaxPar_50_21.txt" totalsRowFunction="average" queryTableFieldId="7"/>
    <tableColumn id="8" xr3:uid="{E6FD5D72-865E-472C-AAFA-B02F253392EC}" uniqueName="8" name="minMaxPar_50_22.txt" totalsRowFunction="average" queryTableFieldId="8"/>
    <tableColumn id="9" xr3:uid="{2DB61481-7B10-4BB8-9CE6-A9F80D868901}" uniqueName="9" name="minMaxPar_50_23.txt" totalsRowFunction="average" queryTableFieldId="9"/>
    <tableColumn id="10" xr3:uid="{D6133CC4-529E-4103-A987-BAC91CA074FC}" uniqueName="10" name="minMaxPar_50_24.txt" totalsRowFunction="average" queryTableFieldId="10"/>
    <tableColumn id="11" xr3:uid="{DA959260-73A2-483D-8CC4-7A9F5F2360AE}" uniqueName="11" name="minMaxPar_50_25.txt" totalsRowFunction="average" queryTableFieldId="11"/>
    <tableColumn id="12" xr3:uid="{88468B75-B7AD-47BD-8AD9-D1A153DDBADF}" uniqueName="12" name="minMaxPar_50_26.txt" totalsRowFunction="average" queryTableFieldId="12"/>
    <tableColumn id="13" xr3:uid="{8D7A5E69-274E-4D73-AA7C-27E86A0DDA08}" uniqueName="13" name="minMaxPar_50_27.txt" totalsRowFunction="average" queryTableFieldId="13"/>
    <tableColumn id="14" xr3:uid="{A09EE069-D0C8-4683-96C8-CD5EDD4C6FE6}" uniqueName="14" name="minMaxPar_50_28.txt" totalsRowFunction="average" queryTableFieldId="14"/>
    <tableColumn id="15" xr3:uid="{4543CF22-8333-46F5-8950-EAD8E647F0CD}" uniqueName="15" name="minMaxPar_50_29.txt" totalsRowFunction="average" queryTableFieldId="15"/>
    <tableColumn id="16" xr3:uid="{624534EF-411D-46E3-A5C5-F47E9F99517D}" uniqueName="16" name="minMaxPar_50_30.txt" totalsRowFunction="average" queryTableFieldId="16"/>
    <tableColumn id="17" xr3:uid="{AF420AB0-37F8-4B11-86B8-D3256EF4B5E0}" uniqueName="17" name="montePar_50_15.txt" totalsRowFunction="average" queryTableFieldId="17"/>
    <tableColumn id="18" xr3:uid="{9E0F22C8-9051-4A65-9F2F-212F493E6107}" uniqueName="18" name="montePar_50_16.txt" totalsRowFunction="average" queryTableFieldId="18"/>
    <tableColumn id="19" xr3:uid="{BF81161B-7DB5-42EB-9A30-AD3695FDA480}" uniqueName="19" name="montePar_50_17.txt" totalsRowFunction="average" queryTableFieldId="19"/>
    <tableColumn id="20" xr3:uid="{F7049615-C07B-45C6-A640-2EE97B14EA8B}" uniqueName="20" name="montePar_50_18.txt" totalsRowFunction="average" queryTableFieldId="20"/>
    <tableColumn id="21" xr3:uid="{2D246B1C-E1E9-40B2-B5F1-0501A2F85F99}" uniqueName="21" name="montePar_50_19.txt" totalsRowFunction="average" queryTableFieldId="21"/>
    <tableColumn id="22" xr3:uid="{AB26C75B-6A61-4CEB-B792-A5027E47939C}" uniqueName="22" name="montePar_50_20.txt" totalsRowFunction="average" queryTableFieldId="22"/>
    <tableColumn id="23" xr3:uid="{8B3F26BA-0505-4D1D-8783-E5230C22F0AE}" uniqueName="23" name="montePar_50_21.txt" totalsRowFunction="average" queryTableFieldId="23"/>
    <tableColumn id="24" xr3:uid="{9D6C0B25-F91D-40DF-B2DA-16E846083959}" uniqueName="24" name="montePar_50_22.txt" totalsRowFunction="average" queryTableFieldId="24"/>
    <tableColumn id="25" xr3:uid="{2F3727CA-F8AF-47BD-9B1B-D000F2B3B789}" uniqueName="25" name="montePar_50_23.txt" totalsRowFunction="average" queryTableFieldId="25"/>
    <tableColumn id="26" xr3:uid="{45C527A0-38CF-402C-B1C3-A094DCADA3EA}" uniqueName="26" name="montePar_50_24.txt" totalsRowFunction="average" queryTableFieldId="26"/>
    <tableColumn id="27" xr3:uid="{B84B7068-B294-4E8E-9C27-F46B696EBCB6}" uniqueName="27" name="montePar_50_25.txt" totalsRowFunction="average" queryTableFieldId="27"/>
    <tableColumn id="28" xr3:uid="{E8440383-BB26-4452-88B9-F751BC83B7F3}" uniqueName="28" name="montePar_50_26.txt" totalsRowFunction="average" queryTableFieldId="28"/>
    <tableColumn id="29" xr3:uid="{F32360F6-33E2-41CD-8907-C1C791E50278}" uniqueName="29" name="montePar_50_27.txt" totalsRowFunction="average" queryTableFieldId="29"/>
    <tableColumn id="30" xr3:uid="{A6F09880-3504-410D-AE8B-844A0EC72568}" uniqueName="30" name="montePar_50_28.txt" totalsRowFunction="average" queryTableFieldId="30"/>
    <tableColumn id="31" xr3:uid="{8308BF14-AC54-4E07-9E13-37960051D3DD}" uniqueName="31" name="montePar_50_29.txt" totalsRowFunction="average" queryTableFieldId="31"/>
    <tableColumn id="32" xr3:uid="{7DB27BD1-6715-4CA0-9FFE-F6EB8A80F5C1}" uniqueName="32" name="montePar_50_30.txt" totalsRowFunction="average" queryTableFieldId="32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122ED8A-8DE1-40CA-A082-56F802C5ADF9}" name="x__2" displayName="x__2" ref="A1:AF52" tableType="queryTable" totalsRowCount="1">
  <autoFilter ref="A1:AF51" xr:uid="{A3D17F2F-E7AF-4B5F-BF92-E836915AB61E}"/>
  <tableColumns count="32">
    <tableColumn id="1" xr3:uid="{D862EF29-8987-47DC-ABC8-869FAF7B849D}" uniqueName="1" name="minMaxPar_50_15.txt" totalsRowFunction="average" queryTableFieldId="1"/>
    <tableColumn id="2" xr3:uid="{7AE86534-50BC-4872-9ACA-7F3BA5302F3E}" uniqueName="2" name="minMaxPar_50_16.txt" totalsRowFunction="average" queryTableFieldId="2"/>
    <tableColumn id="3" xr3:uid="{981AD9E2-615B-443B-A5DB-25407787BAC9}" uniqueName="3" name="minMaxPar_50_17.txt" totalsRowFunction="average" queryTableFieldId="3"/>
    <tableColumn id="4" xr3:uid="{71D88EC7-0FCA-420B-9054-294F573817B0}" uniqueName="4" name="minMaxPar_50_18.txt" totalsRowFunction="average" queryTableFieldId="4"/>
    <tableColumn id="5" xr3:uid="{5C115CB4-77DB-4182-BC30-D198CA28469B}" uniqueName="5" name="minMaxPar_50_19.txt" totalsRowFunction="average" queryTableFieldId="5"/>
    <tableColumn id="6" xr3:uid="{D57DA5E3-05E6-4BB5-9844-020DBD8AF59A}" uniqueName="6" name="minMaxPar_50_20.txt" totalsRowFunction="average" queryTableFieldId="6"/>
    <tableColumn id="7" xr3:uid="{89DCE164-C21B-4623-94C1-49580973028A}" uniqueName="7" name="minMaxPar_50_21.txt" totalsRowFunction="average" queryTableFieldId="7"/>
    <tableColumn id="8" xr3:uid="{CCED5239-3355-4ED4-AC14-D1CC208DC1F6}" uniqueName="8" name="minMaxPar_50_22.txt" totalsRowFunction="average" queryTableFieldId="8"/>
    <tableColumn id="9" xr3:uid="{CB3790D4-E579-457F-8FEA-78C8E8E0E4D4}" uniqueName="9" name="minMaxPar_50_23.txt" totalsRowFunction="average" queryTableFieldId="9"/>
    <tableColumn id="10" xr3:uid="{AFD58504-03C8-4378-BA9E-58D634B578CA}" uniqueName="10" name="minMaxPar_50_24.txt" totalsRowFunction="average" queryTableFieldId="10"/>
    <tableColumn id="11" xr3:uid="{005713F5-812F-4F8D-8540-8A3765D8D4B1}" uniqueName="11" name="minMaxPar_50_25.txt" totalsRowFunction="average" queryTableFieldId="11"/>
    <tableColumn id="12" xr3:uid="{F3B1E47E-21F6-4D23-9EC9-EA566FD23C63}" uniqueName="12" name="minMaxPar_50_26.txt" totalsRowFunction="average" queryTableFieldId="12"/>
    <tableColumn id="13" xr3:uid="{BF587C3C-B4A9-4309-B8CC-7474550E22ED}" uniqueName="13" name="minMaxPar_50_27.txt" totalsRowFunction="average" queryTableFieldId="13"/>
    <tableColumn id="14" xr3:uid="{F47EB605-1492-4B89-AA56-1117AB81E024}" uniqueName="14" name="minMaxPar_50_28.txt" totalsRowFunction="average" queryTableFieldId="14"/>
    <tableColumn id="15" xr3:uid="{69AEAE6E-AC44-4886-ABE0-90561540CEE5}" uniqueName="15" name="minMaxPar_50_29.txt" totalsRowFunction="average" queryTableFieldId="15"/>
    <tableColumn id="16" xr3:uid="{24E86DC9-26B6-4682-82A4-E9B1E6A25587}" uniqueName="16" name="minMaxPar_50_30.txt" totalsRowFunction="average" queryTableFieldId="16"/>
    <tableColumn id="17" xr3:uid="{502DEF66-FAD4-425C-8407-70D49F720F39}" uniqueName="17" name="montePar_50_15.txt" totalsRowFunction="average" queryTableFieldId="17"/>
    <tableColumn id="18" xr3:uid="{346694A2-74E5-48F8-9700-C4A986358E86}" uniqueName="18" name="montePar_50_16.txt" totalsRowFunction="average" queryTableFieldId="18"/>
    <tableColumn id="19" xr3:uid="{1FF63D5F-4D9C-4FD5-A593-1AFAF804A17F}" uniqueName="19" name="montePar_50_17.txt" totalsRowFunction="average" queryTableFieldId="19"/>
    <tableColumn id="20" xr3:uid="{E1801F8E-675F-4BBD-94AE-8870DA8F23E9}" uniqueName="20" name="montePar_50_18.txt" totalsRowFunction="average" queryTableFieldId="20"/>
    <tableColumn id="21" xr3:uid="{A4DCA32F-E2DB-45B3-BB4E-FEFC23ED26F6}" uniqueName="21" name="montePar_50_19.txt" totalsRowFunction="average" queryTableFieldId="21"/>
    <tableColumn id="22" xr3:uid="{0E4D2C1C-7DA5-4093-9A4B-182E2B50FDD6}" uniqueName="22" name="montePar_50_20.txt" totalsRowFunction="average" queryTableFieldId="22"/>
    <tableColumn id="23" xr3:uid="{1F699088-BB6A-4337-B352-D9C06D80363B}" uniqueName="23" name="montePar_50_21.txt" totalsRowFunction="average" queryTableFieldId="23"/>
    <tableColumn id="24" xr3:uid="{BA28ADC5-C0AE-455A-AC2A-473E3A90E4C1}" uniqueName="24" name="montePar_50_22.txt" totalsRowFunction="average" queryTableFieldId="24"/>
    <tableColumn id="25" xr3:uid="{C4CB615F-F01A-4C6A-82FA-B468527D9065}" uniqueName="25" name="montePar_50_23.txt" totalsRowFunction="average" queryTableFieldId="25"/>
    <tableColumn id="26" xr3:uid="{B3ACFB05-503D-4975-8E34-94367465098E}" uniqueName="26" name="montePar_50_24.txt" totalsRowFunction="average" queryTableFieldId="26"/>
    <tableColumn id="27" xr3:uid="{AA205F33-7F50-4185-AA19-3BEC3DA520AE}" uniqueName="27" name="montePar_50_25.txt" totalsRowFunction="average" queryTableFieldId="27"/>
    <tableColumn id="28" xr3:uid="{AD13D751-4483-4FBA-8CD1-6A8A0B584DF5}" uniqueName="28" name="montePar_50_26.txt" totalsRowFunction="average" queryTableFieldId="28"/>
    <tableColumn id="29" xr3:uid="{17ACD8D4-4E46-41A2-96F5-5D8F8D8D785C}" uniqueName="29" name="montePar_50_27.txt" totalsRowFunction="average" queryTableFieldId="29"/>
    <tableColumn id="30" xr3:uid="{6B0BE06E-452E-4199-B877-F7A8A2F77BF5}" uniqueName="30" name="montePar_50_28.txt" totalsRowFunction="average" queryTableFieldId="30"/>
    <tableColumn id="31" xr3:uid="{37E0BA41-D87F-4E6E-8114-99C83BD660E0}" uniqueName="31" name="montePar_50_29.txt" totalsRowFunction="average" queryTableFieldId="31"/>
    <tableColumn id="32" xr3:uid="{0EF6896C-048D-4BC6-8D80-AC1F1C5F4BD3}" uniqueName="32" name="montePar_50_30.txt" totalsRowFunction="average" queryTableFieldId="32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B59B652-0D70-48D9-B55A-DD1C2D140578}" name="x" displayName="x" ref="A1:AF52" tableType="queryTable" totalsRowCount="1">
  <autoFilter ref="A1:AF51" xr:uid="{80639617-2106-4ABA-930E-F8AB4CEB137A}"/>
  <tableColumns count="32">
    <tableColumn id="1" xr3:uid="{B54DDA67-09AC-40AB-8D23-412B121F48A1}" uniqueName="1" name="minMaxPar_50_15.txt" totalsRowFunction="custom" queryTableFieldId="1">
      <totalsRowFormula>AVERAGE(x[minMaxPar_50_15.txt])</totalsRowFormula>
    </tableColumn>
    <tableColumn id="2" xr3:uid="{8C4824DD-8D4F-478A-B8BB-558BC102793F}" uniqueName="2" name="minMaxPar_50_16.txt" totalsRowFunction="custom" queryTableFieldId="2">
      <totalsRowFormula>AVERAGE(x[minMaxPar_50_16.txt])</totalsRowFormula>
    </tableColumn>
    <tableColumn id="3" xr3:uid="{8BC10E90-6244-4B5F-8503-476BE2BEF7F6}" uniqueName="3" name="minMaxPar_50_17.txt" totalsRowFunction="custom" queryTableFieldId="3">
      <totalsRowFormula>AVERAGE(x[minMaxPar_50_17.txt])</totalsRowFormula>
    </tableColumn>
    <tableColumn id="4" xr3:uid="{73B2DDC2-2E2A-4A9A-88DF-9211E93DA1CE}" uniqueName="4" name="minMaxPar_50_18.txt" totalsRowFunction="custom" queryTableFieldId="4">
      <totalsRowFormula>AVERAGE(x[minMaxPar_50_18.txt])</totalsRowFormula>
    </tableColumn>
    <tableColumn id="5" xr3:uid="{A7A8FEFB-734A-4095-AC6E-F7073B24970A}" uniqueName="5" name="minMaxPar_50_19.txt" totalsRowFunction="custom" queryTableFieldId="5">
      <totalsRowFormula>AVERAGE(x[minMaxPar_50_19.txt])</totalsRowFormula>
    </tableColumn>
    <tableColumn id="6" xr3:uid="{B954833E-194C-4D82-8DC3-5C45141BE4D2}" uniqueName="6" name="minMaxPar_50_20.txt" totalsRowFunction="custom" queryTableFieldId="6">
      <totalsRowFormula>AVERAGE(x[minMaxPar_50_20.txt])</totalsRowFormula>
    </tableColumn>
    <tableColumn id="7" xr3:uid="{EB4BB7AB-5476-488A-A5FB-18FA5D8830BC}" uniqueName="7" name="minMaxPar_50_21.txt" totalsRowFunction="custom" queryTableFieldId="7">
      <totalsRowFormula>AVERAGE(x[minMaxPar_50_21.txt])</totalsRowFormula>
    </tableColumn>
    <tableColumn id="8" xr3:uid="{A314838D-2650-4C19-93FF-D068A8069ECC}" uniqueName="8" name="minMaxPar_50_22.txt" totalsRowFunction="custom" queryTableFieldId="8">
      <totalsRowFormula>AVERAGE(x[minMaxPar_50_22.txt])</totalsRowFormula>
    </tableColumn>
    <tableColumn id="9" xr3:uid="{578301AB-F0DF-4E9A-B87B-05E7012FFF1A}" uniqueName="9" name="minMaxPar_50_23.txt" totalsRowFunction="custom" queryTableFieldId="9">
      <totalsRowFormula>AVERAGE(x[minMaxPar_50_23.txt])</totalsRowFormula>
    </tableColumn>
    <tableColumn id="10" xr3:uid="{A75D9878-04D1-40E0-AC77-5C173174739E}" uniqueName="10" name="minMaxPar_50_24.txt" totalsRowFunction="custom" queryTableFieldId="10">
      <totalsRowFormula>AVERAGE(x[minMaxPar_50_24.txt])</totalsRowFormula>
    </tableColumn>
    <tableColumn id="11" xr3:uid="{9B4BDC3A-9A02-4E01-8530-F9432F604666}" uniqueName="11" name="minMaxPar_50_25.txt" totalsRowFunction="custom" queryTableFieldId="11">
      <totalsRowFormula>AVERAGE(x[minMaxPar_50_25.txt])</totalsRowFormula>
    </tableColumn>
    <tableColumn id="12" xr3:uid="{07262593-2138-47E0-A1BA-CB9BB3C83235}" uniqueName="12" name="minMaxPar_50_26.txt" totalsRowFunction="custom" queryTableFieldId="12">
      <totalsRowFormula>AVERAGE(x[minMaxPar_50_26.txt])</totalsRowFormula>
    </tableColumn>
    <tableColumn id="13" xr3:uid="{9D0E69C8-6091-48DB-8740-4724B6E48C25}" uniqueName="13" name="minMaxPar_50_27.txt" totalsRowFunction="custom" queryTableFieldId="13">
      <totalsRowFormula>AVERAGE(x[minMaxPar_50_27.txt])</totalsRowFormula>
    </tableColumn>
    <tableColumn id="14" xr3:uid="{7D4BF246-B397-4D09-B7D4-E8A685698DB4}" uniqueName="14" name="minMaxPar_50_28.txt" totalsRowFunction="custom" queryTableFieldId="14">
      <totalsRowFormula>AVERAGE(x[minMaxPar_50_28.txt])</totalsRowFormula>
    </tableColumn>
    <tableColumn id="15" xr3:uid="{8784F7B5-FBA8-479B-AAC0-8D7109DE9FFD}" uniqueName="15" name="minMaxPar_50_29.txt" totalsRowFunction="custom" queryTableFieldId="15">
      <totalsRowFormula>AVERAGE(x[minMaxPar_50_29.txt])</totalsRowFormula>
    </tableColumn>
    <tableColumn id="16" xr3:uid="{3CC17D62-D6DE-42D2-8DE0-844B3215EEA7}" uniqueName="16" name="minMaxPar_50_30.txt" totalsRowFunction="custom" queryTableFieldId="16">
      <totalsRowFormula>AVERAGE(x[minMaxPar_50_30.txt])</totalsRowFormula>
    </tableColumn>
    <tableColumn id="17" xr3:uid="{9A1CE2B9-5B59-4F47-A454-FEA5EA8984F1}" uniqueName="17" name="montePar_50_15.txt" totalsRowFunction="custom" queryTableFieldId="17">
      <totalsRowFormula>AVERAGE(x[montePar_50_15.txt])</totalsRowFormula>
    </tableColumn>
    <tableColumn id="18" xr3:uid="{FF8A28BA-F940-434B-8533-50FDE2748FC8}" uniqueName="18" name="montePar_50_16.txt" totalsRowFunction="custom" queryTableFieldId="18">
      <totalsRowFormula>AVERAGE(x[montePar_50_16.txt])</totalsRowFormula>
    </tableColumn>
    <tableColumn id="19" xr3:uid="{FC7E18C7-1BB1-42A2-A9E8-B22D3FF054A8}" uniqueName="19" name="montePar_50_17.txt" totalsRowFunction="custom" queryTableFieldId="19">
      <totalsRowFormula>AVERAGE(x[montePar_50_17.txt])</totalsRowFormula>
    </tableColumn>
    <tableColumn id="20" xr3:uid="{0066C998-207C-4B60-BFE1-82B6A9800F1F}" uniqueName="20" name="montePar_50_18.txt" totalsRowFunction="custom" queryTableFieldId="20">
      <totalsRowFormula>AVERAGE(x[montePar_50_18.txt])</totalsRowFormula>
    </tableColumn>
    <tableColumn id="21" xr3:uid="{3C560C76-3947-48A8-895A-2AD6B383D768}" uniqueName="21" name="montePar_50_19.txt" totalsRowFunction="custom" queryTableFieldId="21">
      <totalsRowFormula>AVERAGE(x[montePar_50_19.txt])</totalsRowFormula>
    </tableColumn>
    <tableColumn id="22" xr3:uid="{3BEAA732-4564-42B9-B94C-D8C0E16EE782}" uniqueName="22" name="montePar_50_20.txt" totalsRowFunction="custom" queryTableFieldId="22">
      <totalsRowFormula>AVERAGE(x[montePar_50_20.txt])</totalsRowFormula>
    </tableColumn>
    <tableColumn id="23" xr3:uid="{9382517E-7742-4E44-B6AA-AE7632F552CD}" uniqueName="23" name="montePar_50_21.txt" totalsRowFunction="custom" queryTableFieldId="23">
      <totalsRowFormula>AVERAGE(x[montePar_50_21.txt])</totalsRowFormula>
    </tableColumn>
    <tableColumn id="24" xr3:uid="{52DABDD1-0246-4F9C-BC39-8D66F5C6B561}" uniqueName="24" name="montePar_50_22.txt" totalsRowFunction="custom" queryTableFieldId="24">
      <totalsRowFormula>AVERAGE(x[montePar_50_22.txt])</totalsRowFormula>
    </tableColumn>
    <tableColumn id="25" xr3:uid="{DCDE8C1E-CCEB-48CD-A428-3E9C858AB2B5}" uniqueName="25" name="montePar_50_23.txt" totalsRowFunction="custom" queryTableFieldId="25">
      <totalsRowFormula>AVERAGE(x[montePar_50_23.txt])</totalsRowFormula>
    </tableColumn>
    <tableColumn id="26" xr3:uid="{B272FD31-18A6-4CFB-BD02-111BD8B56EE5}" uniqueName="26" name="montePar_50_24.txt" totalsRowFunction="custom" queryTableFieldId="26">
      <totalsRowFormula>AVERAGE(x[montePar_50_24.txt])</totalsRowFormula>
    </tableColumn>
    <tableColumn id="27" xr3:uid="{D65021B7-777A-4DDB-B0E5-3C8D0FAD68C5}" uniqueName="27" name="montePar_50_25.txt" totalsRowFunction="custom" queryTableFieldId="27">
      <totalsRowFormula>AVERAGE(x[montePar_50_25.txt])</totalsRowFormula>
    </tableColumn>
    <tableColumn id="28" xr3:uid="{60B5C30C-12E8-455A-8752-9FDD648A6E70}" uniqueName="28" name="montePar_50_26.txt" totalsRowFunction="custom" queryTableFieldId="28">
      <totalsRowFormula>AVERAGE(x[montePar_50_26.txt])</totalsRowFormula>
    </tableColumn>
    <tableColumn id="29" xr3:uid="{D46F2295-3EF4-4E16-A603-853A1D67A271}" uniqueName="29" name="montePar_50_27.txt" totalsRowFunction="custom" queryTableFieldId="29">
      <totalsRowFormula>AVERAGE(x[montePar_50_27.txt])</totalsRowFormula>
    </tableColumn>
    <tableColumn id="30" xr3:uid="{24A820F8-087C-46D8-A3DA-DC12BFFA9B0B}" uniqueName="30" name="montePar_50_28.txt" totalsRowFunction="custom" queryTableFieldId="30">
      <totalsRowFormula>AVERAGE(x[montePar_50_28.txt])</totalsRowFormula>
    </tableColumn>
    <tableColumn id="31" xr3:uid="{809228D3-8A12-4E0D-9371-02738D6D0526}" uniqueName="31" name="montePar_50_29.txt" totalsRowFunction="custom" queryTableFieldId="31">
      <totalsRowFormula>AVERAGE(x[montePar_50_29.txt])</totalsRowFormula>
    </tableColumn>
    <tableColumn id="32" xr3:uid="{99D282F3-C089-4363-90D0-A2DC034B205A}" uniqueName="32" name="montePar_50_30.txt" totalsRowFunction="custom" queryTableFieldId="32">
      <totalsRowFormula>AVERAGE(x[montePar_50_30.txt])</totalsRow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60FBF-7557-49AA-ADA0-506C638D0107}">
  <dimension ref="A1:BB54"/>
  <sheetViews>
    <sheetView tabSelected="1" topLeftCell="L37" zoomScaleNormal="100" workbookViewId="0">
      <selection activeCell="P52" sqref="A52:P54"/>
    </sheetView>
  </sheetViews>
  <sheetFormatPr defaultRowHeight="15" x14ac:dyDescent="0.25"/>
  <cols>
    <col min="1" max="16" width="22.7109375" bestFit="1" customWidth="1"/>
    <col min="17" max="27" width="23.140625" bestFit="1" customWidth="1"/>
    <col min="28" max="41" width="21.28515625" bestFit="1" customWidth="1"/>
    <col min="42" max="42" width="25.140625" customWidth="1"/>
    <col min="43" max="43" width="21.28515625" bestFit="1" customWidth="1"/>
    <col min="44" max="54" width="21.7109375" bestFit="1" customWidth="1"/>
  </cols>
  <sheetData>
    <row r="1" spans="1:5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  <c r="X1" t="s">
        <v>39</v>
      </c>
      <c r="Y1" t="s">
        <v>40</v>
      </c>
      <c r="Z1" t="s">
        <v>41</v>
      </c>
      <c r="AA1" t="s">
        <v>42</v>
      </c>
      <c r="AB1" t="s">
        <v>16</v>
      </c>
      <c r="AC1" t="s">
        <v>17</v>
      </c>
      <c r="AD1" t="s">
        <v>18</v>
      </c>
      <c r="AE1" t="s">
        <v>19</v>
      </c>
      <c r="AF1" t="s">
        <v>20</v>
      </c>
      <c r="AG1" t="s">
        <v>21</v>
      </c>
      <c r="AH1" t="s">
        <v>22</v>
      </c>
      <c r="AI1" t="s">
        <v>23</v>
      </c>
      <c r="AJ1" t="s">
        <v>24</v>
      </c>
      <c r="AK1" t="s">
        <v>25</v>
      </c>
      <c r="AL1" t="s">
        <v>26</v>
      </c>
      <c r="AM1" t="s">
        <v>27</v>
      </c>
      <c r="AN1" t="s">
        <v>28</v>
      </c>
      <c r="AO1" t="s">
        <v>29</v>
      </c>
      <c r="AP1" t="s">
        <v>30</v>
      </c>
      <c r="AQ1" t="s">
        <v>31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</row>
    <row r="2" spans="1:54" x14ac:dyDescent="0.25">
      <c r="A2">
        <v>2.0401999999999998E-3</v>
      </c>
      <c r="B2">
        <v>2.1538E-3</v>
      </c>
      <c r="C2">
        <v>2.2201999999999999E-3</v>
      </c>
      <c r="D2">
        <v>3.0059000000000002E-3</v>
      </c>
      <c r="E2">
        <v>3.8530000000000001E-3</v>
      </c>
      <c r="F2">
        <v>5.8751999999999997E-3</v>
      </c>
      <c r="G2">
        <v>9.9743000000000002E-3</v>
      </c>
      <c r="H2">
        <v>1.7672899999999998E-2</v>
      </c>
      <c r="I2">
        <v>3.2871200000000003E-2</v>
      </c>
      <c r="J2">
        <v>6.3553399999999996E-2</v>
      </c>
      <c r="K2">
        <v>0.124884</v>
      </c>
      <c r="L2">
        <v>0.249441</v>
      </c>
      <c r="M2">
        <v>0.49976300000000001</v>
      </c>
      <c r="N2">
        <v>0.99698699999999996</v>
      </c>
      <c r="O2">
        <v>2.0024999999999999</v>
      </c>
      <c r="P2">
        <v>4.0026000000000002</v>
      </c>
      <c r="Q2">
        <v>7.2570999999999998E-3</v>
      </c>
      <c r="R2">
        <v>1.42977E-2</v>
      </c>
      <c r="S2">
        <v>2.8666000000000001E-2</v>
      </c>
      <c r="T2">
        <v>5.6914100000000002E-2</v>
      </c>
      <c r="U2">
        <v>0.11061600000000001</v>
      </c>
      <c r="V2">
        <v>0.217358</v>
      </c>
      <c r="W2">
        <v>0.43562800000000002</v>
      </c>
      <c r="X2">
        <v>0.892266</v>
      </c>
      <c r="Y2">
        <v>1.7543200000000001</v>
      </c>
      <c r="Z2">
        <v>3.4911300000000001</v>
      </c>
      <c r="AA2">
        <v>6.96244</v>
      </c>
      <c r="AB2">
        <v>6.4687E-3</v>
      </c>
      <c r="AC2">
        <v>1.7438E-3</v>
      </c>
      <c r="AD2">
        <v>2.0005999999999999E-3</v>
      </c>
      <c r="AE2">
        <v>2.3462000000000001E-3</v>
      </c>
      <c r="AF2">
        <v>3.5382999999999999E-3</v>
      </c>
      <c r="AG2">
        <v>5.4526000000000002E-3</v>
      </c>
      <c r="AH2">
        <v>9.4771999999999999E-3</v>
      </c>
      <c r="AI2">
        <v>1.74477E-2</v>
      </c>
      <c r="AJ2">
        <v>3.3413699999999998E-2</v>
      </c>
      <c r="AK2">
        <v>6.5274700000000005E-2</v>
      </c>
      <c r="AL2">
        <v>0.12828700000000001</v>
      </c>
      <c r="AM2">
        <v>0.25806400000000002</v>
      </c>
      <c r="AN2">
        <v>0.51524400000000004</v>
      </c>
      <c r="AO2">
        <v>1.0340100000000001</v>
      </c>
      <c r="AP2">
        <v>2.0659999999999998</v>
      </c>
      <c r="AQ2">
        <v>4.1298500000000002</v>
      </c>
      <c r="AR2">
        <v>1.1077200000000001E-2</v>
      </c>
      <c r="AS2">
        <v>2.2845500000000001E-2</v>
      </c>
      <c r="AT2">
        <v>4.5682199999999999E-2</v>
      </c>
      <c r="AU2">
        <v>9.1144000000000003E-2</v>
      </c>
      <c r="AV2">
        <v>0.17658499999999999</v>
      </c>
      <c r="AW2">
        <v>0.35259800000000002</v>
      </c>
      <c r="AX2">
        <v>0.68540100000000004</v>
      </c>
      <c r="AY2">
        <v>1.43232</v>
      </c>
      <c r="AZ2">
        <v>2.8362099999999999</v>
      </c>
      <c r="BA2">
        <v>5.6768999999999998</v>
      </c>
      <c r="BB2">
        <v>11.193300000000001</v>
      </c>
    </row>
    <row r="3" spans="1:54" x14ac:dyDescent="0.25">
      <c r="A3">
        <v>1.8538000000000001E-3</v>
      </c>
      <c r="B3">
        <v>1.8146E-3</v>
      </c>
      <c r="C3">
        <v>2.1182000000000002E-3</v>
      </c>
      <c r="D3">
        <v>2.4940000000000001E-3</v>
      </c>
      <c r="E3">
        <v>3.6579999999999998E-3</v>
      </c>
      <c r="F3">
        <v>5.7029000000000003E-3</v>
      </c>
      <c r="G3">
        <v>1.0037000000000001E-2</v>
      </c>
      <c r="H3">
        <v>1.7296499999999999E-2</v>
      </c>
      <c r="I3">
        <v>3.2562000000000001E-2</v>
      </c>
      <c r="J3">
        <v>6.3409499999999994E-2</v>
      </c>
      <c r="K3">
        <v>0.12578900000000001</v>
      </c>
      <c r="L3">
        <v>0.249194</v>
      </c>
      <c r="M3">
        <v>0.49990899999999999</v>
      </c>
      <c r="N3">
        <v>0.99673500000000004</v>
      </c>
      <c r="O3">
        <v>2.00258</v>
      </c>
      <c r="P3">
        <v>4.0021300000000002</v>
      </c>
      <c r="Q3">
        <v>6.9185999999999996E-3</v>
      </c>
      <c r="R3">
        <v>1.4398299999999999E-2</v>
      </c>
      <c r="S3">
        <v>2.7806500000000001E-2</v>
      </c>
      <c r="T3">
        <v>5.6709299999999997E-2</v>
      </c>
      <c r="U3">
        <v>0.112835</v>
      </c>
      <c r="V3">
        <v>0.228072</v>
      </c>
      <c r="W3">
        <v>0.46357300000000001</v>
      </c>
      <c r="X3">
        <v>0.86501099999999997</v>
      </c>
      <c r="Y3">
        <v>1.7946599999999999</v>
      </c>
      <c r="Z3">
        <v>3.48305</v>
      </c>
      <c r="AA3">
        <v>6.8641100000000002</v>
      </c>
      <c r="AB3">
        <v>1.6141E-3</v>
      </c>
      <c r="AC3">
        <v>1.4005999999999999E-3</v>
      </c>
      <c r="AD3">
        <v>1.688E-3</v>
      </c>
      <c r="AE3">
        <v>2.1378999999999999E-3</v>
      </c>
      <c r="AF3">
        <v>3.3352E-3</v>
      </c>
      <c r="AG3">
        <v>5.1697999999999996E-3</v>
      </c>
      <c r="AH3">
        <v>9.4099000000000006E-3</v>
      </c>
      <c r="AI3">
        <v>1.7328799999999998E-2</v>
      </c>
      <c r="AJ3">
        <v>3.3257200000000001E-2</v>
      </c>
      <c r="AK3">
        <v>6.4991800000000002E-2</v>
      </c>
      <c r="AL3">
        <v>0.128441</v>
      </c>
      <c r="AM3">
        <v>0.25803599999999999</v>
      </c>
      <c r="AN3">
        <v>0.51503399999999999</v>
      </c>
      <c r="AO3">
        <v>1.03396</v>
      </c>
      <c r="AP3">
        <v>2.0659100000000001</v>
      </c>
      <c r="AQ3">
        <v>4.1294500000000003</v>
      </c>
      <c r="AR3">
        <v>1.11777E-2</v>
      </c>
      <c r="AS3">
        <v>2.2739499999999999E-2</v>
      </c>
      <c r="AT3">
        <v>4.4088099999999998E-2</v>
      </c>
      <c r="AU3">
        <v>8.6014199999999999E-2</v>
      </c>
      <c r="AV3">
        <v>0.18551799999999999</v>
      </c>
      <c r="AW3">
        <v>0.35311399999999998</v>
      </c>
      <c r="AX3">
        <v>0.69468700000000005</v>
      </c>
      <c r="AY3">
        <v>1.4470499999999999</v>
      </c>
      <c r="AZ3">
        <v>2.8029899999999999</v>
      </c>
      <c r="BA3">
        <v>5.6154599999999997</v>
      </c>
      <c r="BB3">
        <v>11.232200000000001</v>
      </c>
    </row>
    <row r="4" spans="1:54" x14ac:dyDescent="0.25">
      <c r="A4">
        <v>1.8259000000000001E-3</v>
      </c>
      <c r="B4">
        <v>2.0232000000000002E-3</v>
      </c>
      <c r="C4">
        <v>2.7090999999999999E-3</v>
      </c>
      <c r="D4">
        <v>2.4681E-3</v>
      </c>
      <c r="E4">
        <v>3.6621000000000002E-3</v>
      </c>
      <c r="F4">
        <v>5.8500999999999996E-3</v>
      </c>
      <c r="G4">
        <v>9.8478999999999997E-3</v>
      </c>
      <c r="H4">
        <v>1.72766E-2</v>
      </c>
      <c r="I4">
        <v>3.2768800000000001E-2</v>
      </c>
      <c r="J4">
        <v>6.3500600000000004E-2</v>
      </c>
      <c r="K4">
        <v>0.12570300000000001</v>
      </c>
      <c r="L4">
        <v>0.249084</v>
      </c>
      <c r="M4">
        <v>0.49960900000000003</v>
      </c>
      <c r="N4">
        <v>0.99685599999999996</v>
      </c>
      <c r="O4">
        <v>2.0024799999999998</v>
      </c>
      <c r="P4">
        <v>4.0022900000000003</v>
      </c>
      <c r="Q4">
        <v>6.9988999999999997E-3</v>
      </c>
      <c r="R4">
        <v>1.5698500000000001E-2</v>
      </c>
      <c r="S4">
        <v>2.6666700000000002E-2</v>
      </c>
      <c r="T4">
        <v>5.38193E-2</v>
      </c>
      <c r="U4">
        <v>0.110415</v>
      </c>
      <c r="V4">
        <v>0.230021</v>
      </c>
      <c r="W4">
        <v>0.45163700000000001</v>
      </c>
      <c r="X4">
        <v>0.86341699999999999</v>
      </c>
      <c r="Y4">
        <v>1.7430699999999999</v>
      </c>
      <c r="Z4">
        <v>3.4726499999999998</v>
      </c>
      <c r="AA4">
        <v>7.0271100000000004</v>
      </c>
      <c r="AB4">
        <v>1.5946000000000001E-3</v>
      </c>
      <c r="AC4">
        <v>1.4399E-3</v>
      </c>
      <c r="AD4">
        <v>1.5971E-3</v>
      </c>
      <c r="AE4">
        <v>2.2618999999999998E-3</v>
      </c>
      <c r="AF4">
        <v>3.2826000000000001E-3</v>
      </c>
      <c r="AG4">
        <v>5.3553999999999997E-3</v>
      </c>
      <c r="AH4">
        <v>9.2974000000000008E-3</v>
      </c>
      <c r="AI4">
        <v>1.7358200000000001E-2</v>
      </c>
      <c r="AJ4">
        <v>3.3170999999999999E-2</v>
      </c>
      <c r="AK4">
        <v>6.4903600000000006E-2</v>
      </c>
      <c r="AL4">
        <v>0.12820799999999999</v>
      </c>
      <c r="AM4">
        <v>0.25820199999999999</v>
      </c>
      <c r="AN4">
        <v>0.51492099999999996</v>
      </c>
      <c r="AO4">
        <v>1.03399</v>
      </c>
      <c r="AP4">
        <v>2.0658599999999998</v>
      </c>
      <c r="AQ4">
        <v>4.1295500000000001</v>
      </c>
      <c r="AR4">
        <v>1.10343E-2</v>
      </c>
      <c r="AS4">
        <v>2.2291800000000001E-2</v>
      </c>
      <c r="AT4">
        <v>4.5293699999999999E-2</v>
      </c>
      <c r="AU4">
        <v>8.6954400000000001E-2</v>
      </c>
      <c r="AV4">
        <v>0.18229300000000001</v>
      </c>
      <c r="AW4">
        <v>0.35199200000000003</v>
      </c>
      <c r="AX4">
        <v>0.701631</v>
      </c>
      <c r="AY4">
        <v>1.4502900000000001</v>
      </c>
      <c r="AZ4">
        <v>2.81291</v>
      </c>
      <c r="BA4">
        <v>5.6238599999999996</v>
      </c>
      <c r="BB4">
        <v>11.7363</v>
      </c>
    </row>
    <row r="5" spans="1:54" x14ac:dyDescent="0.25">
      <c r="A5">
        <v>1.9337E-3</v>
      </c>
      <c r="B5">
        <v>2.016E-3</v>
      </c>
      <c r="C5">
        <v>2.4023999999999998E-3</v>
      </c>
      <c r="D5">
        <v>2.5452999999999999E-3</v>
      </c>
      <c r="E5">
        <v>3.7572999999999999E-3</v>
      </c>
      <c r="F5">
        <v>5.7943999999999999E-3</v>
      </c>
      <c r="G5">
        <v>9.5580999999999999E-3</v>
      </c>
      <c r="H5">
        <v>1.73098E-2</v>
      </c>
      <c r="I5">
        <v>3.2620499999999997E-2</v>
      </c>
      <c r="J5">
        <v>6.3567399999999996E-2</v>
      </c>
      <c r="K5">
        <v>0.12586900000000001</v>
      </c>
      <c r="L5">
        <v>0.24918899999999999</v>
      </c>
      <c r="M5">
        <v>0.49973099999999998</v>
      </c>
      <c r="N5">
        <v>0.996977</v>
      </c>
      <c r="O5">
        <v>2.0026899999999999</v>
      </c>
      <c r="P5">
        <v>4.0021100000000001</v>
      </c>
      <c r="Q5">
        <v>6.6559000000000002E-3</v>
      </c>
      <c r="R5">
        <v>1.3858799999999999E-2</v>
      </c>
      <c r="S5">
        <v>2.69299E-2</v>
      </c>
      <c r="T5">
        <v>5.52857E-2</v>
      </c>
      <c r="U5">
        <v>0.106612</v>
      </c>
      <c r="V5">
        <v>0.232904</v>
      </c>
      <c r="W5">
        <v>0.43214000000000002</v>
      </c>
      <c r="X5">
        <v>0.86165999999999998</v>
      </c>
      <c r="Y5">
        <v>1.72861</v>
      </c>
      <c r="Z5">
        <v>3.4729700000000001</v>
      </c>
      <c r="AA5">
        <v>7.19259</v>
      </c>
      <c r="AB5">
        <v>1.4886999999999999E-3</v>
      </c>
      <c r="AC5">
        <v>1.4798999999999999E-3</v>
      </c>
      <c r="AD5">
        <v>1.5367E-3</v>
      </c>
      <c r="AE5">
        <v>2.1324E-3</v>
      </c>
      <c r="AF5">
        <v>3.4854999999999999E-3</v>
      </c>
      <c r="AG5">
        <v>5.2097999999999997E-3</v>
      </c>
      <c r="AH5">
        <v>9.3740000000000004E-3</v>
      </c>
      <c r="AI5">
        <v>1.7193400000000001E-2</v>
      </c>
      <c r="AJ5">
        <v>3.3135199999999997E-2</v>
      </c>
      <c r="AK5">
        <v>6.4892500000000006E-2</v>
      </c>
      <c r="AL5">
        <v>0.12817000000000001</v>
      </c>
      <c r="AM5">
        <v>0.25815300000000002</v>
      </c>
      <c r="AN5">
        <v>0.51502400000000004</v>
      </c>
      <c r="AO5">
        <v>1.0340199999999999</v>
      </c>
      <c r="AP5">
        <v>2.0659000000000001</v>
      </c>
      <c r="AQ5">
        <v>4.1292200000000001</v>
      </c>
      <c r="AR5">
        <v>1.06179E-2</v>
      </c>
      <c r="AS5">
        <v>2.17018E-2</v>
      </c>
      <c r="AT5">
        <v>4.2949000000000001E-2</v>
      </c>
      <c r="AU5">
        <v>9.2858300000000005E-2</v>
      </c>
      <c r="AV5">
        <v>0.17452699999999999</v>
      </c>
      <c r="AW5">
        <v>0.35837400000000003</v>
      </c>
      <c r="AX5">
        <v>0.70461799999999997</v>
      </c>
      <c r="AY5">
        <v>1.39296</v>
      </c>
      <c r="AZ5">
        <v>2.79657</v>
      </c>
      <c r="BA5">
        <v>5.6986699999999999</v>
      </c>
      <c r="BB5">
        <v>11.2203</v>
      </c>
    </row>
    <row r="6" spans="1:54" x14ac:dyDescent="0.25">
      <c r="A6">
        <v>2.0961999999999999E-3</v>
      </c>
      <c r="B6">
        <v>1.8129000000000001E-3</v>
      </c>
      <c r="C6">
        <v>2.0972999999999999E-3</v>
      </c>
      <c r="D6">
        <v>2.6765999999999999E-3</v>
      </c>
      <c r="E6">
        <v>3.5864E-3</v>
      </c>
      <c r="F6">
        <v>5.7339000000000001E-3</v>
      </c>
      <c r="G6">
        <v>9.9349E-3</v>
      </c>
      <c r="H6">
        <v>1.7266199999999999E-2</v>
      </c>
      <c r="I6">
        <v>3.2794299999999998E-2</v>
      </c>
      <c r="J6">
        <v>6.3635899999999995E-2</v>
      </c>
      <c r="K6">
        <v>0.125643</v>
      </c>
      <c r="L6">
        <v>0.249219</v>
      </c>
      <c r="M6">
        <v>0.49997900000000001</v>
      </c>
      <c r="N6">
        <v>0.99684799999999996</v>
      </c>
      <c r="O6">
        <v>2.0023599999999999</v>
      </c>
      <c r="P6">
        <v>4.0017800000000001</v>
      </c>
      <c r="Q6">
        <v>6.9186999999999999E-3</v>
      </c>
      <c r="R6">
        <v>1.36507E-2</v>
      </c>
      <c r="S6">
        <v>2.70075E-2</v>
      </c>
      <c r="T6">
        <v>5.3621599999999998E-2</v>
      </c>
      <c r="U6">
        <v>0.108623</v>
      </c>
      <c r="V6">
        <v>0.22609899999999999</v>
      </c>
      <c r="W6">
        <v>0.43274499999999999</v>
      </c>
      <c r="X6">
        <v>0.903088</v>
      </c>
      <c r="Y6">
        <v>1.7501100000000001</v>
      </c>
      <c r="Z6">
        <v>3.4876100000000001</v>
      </c>
      <c r="AA6">
        <v>6.9139600000000003</v>
      </c>
      <c r="AB6">
        <v>1.6402000000000001E-3</v>
      </c>
      <c r="AC6">
        <v>1.4630000000000001E-3</v>
      </c>
      <c r="AD6">
        <v>1.6792000000000001E-3</v>
      </c>
      <c r="AE6">
        <v>2.1059999999999998E-3</v>
      </c>
      <c r="AF6">
        <v>3.2851E-3</v>
      </c>
      <c r="AG6">
        <v>5.3268999999999999E-3</v>
      </c>
      <c r="AH6">
        <v>9.2592000000000004E-3</v>
      </c>
      <c r="AI6">
        <v>1.7219600000000002E-2</v>
      </c>
      <c r="AJ6">
        <v>3.3128900000000003E-2</v>
      </c>
      <c r="AK6">
        <v>6.4785400000000007E-2</v>
      </c>
      <c r="AL6">
        <v>0.128108</v>
      </c>
      <c r="AM6">
        <v>0.25806099999999998</v>
      </c>
      <c r="AN6">
        <v>0.51499899999999998</v>
      </c>
      <c r="AO6">
        <v>1.0339499999999999</v>
      </c>
      <c r="AP6">
        <v>2.0661800000000001</v>
      </c>
      <c r="AQ6">
        <v>4.1293499999999996</v>
      </c>
      <c r="AR6">
        <v>1.1109600000000001E-2</v>
      </c>
      <c r="AS6">
        <v>2.17077E-2</v>
      </c>
      <c r="AT6">
        <v>4.5575900000000003E-2</v>
      </c>
      <c r="AU6">
        <v>9.0612399999999996E-2</v>
      </c>
      <c r="AV6">
        <v>0.18037800000000001</v>
      </c>
      <c r="AW6">
        <v>0.35665200000000002</v>
      </c>
      <c r="AX6">
        <v>0.699183</v>
      </c>
      <c r="AY6">
        <v>1.4388799999999999</v>
      </c>
      <c r="AZ6">
        <v>2.80803</v>
      </c>
      <c r="BA6">
        <v>5.6141100000000002</v>
      </c>
      <c r="BB6">
        <v>11.4672</v>
      </c>
    </row>
    <row r="7" spans="1:54" x14ac:dyDescent="0.25">
      <c r="A7">
        <v>1.9796000000000002E-3</v>
      </c>
      <c r="B7">
        <v>1.8021000000000001E-3</v>
      </c>
      <c r="C7">
        <v>2.0493E-3</v>
      </c>
      <c r="D7">
        <v>2.6497999999999999E-3</v>
      </c>
      <c r="E7">
        <v>3.7328000000000001E-3</v>
      </c>
      <c r="F7">
        <v>5.6917000000000001E-3</v>
      </c>
      <c r="G7">
        <v>9.6117000000000008E-3</v>
      </c>
      <c r="H7">
        <v>1.7208399999999999E-2</v>
      </c>
      <c r="I7">
        <v>3.2662799999999999E-2</v>
      </c>
      <c r="J7">
        <v>6.3377199999999995E-2</v>
      </c>
      <c r="K7">
        <v>0.12540799999999999</v>
      </c>
      <c r="L7">
        <v>0.24928400000000001</v>
      </c>
      <c r="M7">
        <v>0.49964199999999998</v>
      </c>
      <c r="N7">
        <v>0.996757</v>
      </c>
      <c r="O7">
        <v>2.0024700000000002</v>
      </c>
      <c r="P7">
        <v>4.0019799999999996</v>
      </c>
      <c r="Q7">
        <v>6.4952999999999999E-3</v>
      </c>
      <c r="R7">
        <v>1.6387800000000001E-2</v>
      </c>
      <c r="S7">
        <v>2.68236E-2</v>
      </c>
      <c r="T7">
        <v>5.4375300000000001E-2</v>
      </c>
      <c r="U7">
        <v>0.108196</v>
      </c>
      <c r="V7">
        <v>0.212561</v>
      </c>
      <c r="W7">
        <v>0.43975199999999998</v>
      </c>
      <c r="X7">
        <v>0.86509400000000003</v>
      </c>
      <c r="Y7">
        <v>1.7191799999999999</v>
      </c>
      <c r="Z7">
        <v>3.5381300000000002</v>
      </c>
      <c r="AA7">
        <v>6.9210599999999998</v>
      </c>
      <c r="AB7">
        <v>1.712E-3</v>
      </c>
      <c r="AC7">
        <v>1.4329E-3</v>
      </c>
      <c r="AD7">
        <v>1.7181E-3</v>
      </c>
      <c r="AE7">
        <v>2.0577999999999998E-3</v>
      </c>
      <c r="AF7">
        <v>3.1668999999999998E-3</v>
      </c>
      <c r="AG7">
        <v>5.3457000000000001E-3</v>
      </c>
      <c r="AH7">
        <v>9.7874999999999993E-3</v>
      </c>
      <c r="AI7">
        <v>1.7271399999999999E-2</v>
      </c>
      <c r="AJ7">
        <v>3.3120900000000002E-2</v>
      </c>
      <c r="AK7">
        <v>6.4864199999999997E-2</v>
      </c>
      <c r="AL7">
        <v>0.12818299999999999</v>
      </c>
      <c r="AM7">
        <v>0.25789699999999999</v>
      </c>
      <c r="AN7">
        <v>0.51510800000000001</v>
      </c>
      <c r="AO7">
        <v>1.0341</v>
      </c>
      <c r="AP7">
        <v>2.0659800000000001</v>
      </c>
      <c r="AQ7">
        <v>4.1295500000000001</v>
      </c>
      <c r="AR7">
        <v>1.1189599999999999E-2</v>
      </c>
      <c r="AS7">
        <v>2.2337900000000001E-2</v>
      </c>
      <c r="AT7">
        <v>4.6656900000000001E-2</v>
      </c>
      <c r="AU7">
        <v>8.9487999999999998E-2</v>
      </c>
      <c r="AV7">
        <v>0.178059</v>
      </c>
      <c r="AW7">
        <v>0.34956199999999998</v>
      </c>
      <c r="AX7">
        <v>0.70270699999999997</v>
      </c>
      <c r="AY7">
        <v>1.46777</v>
      </c>
      <c r="AZ7">
        <v>2.8051599999999999</v>
      </c>
      <c r="BA7">
        <v>5.67591</v>
      </c>
      <c r="BB7">
        <v>11.411799999999999</v>
      </c>
    </row>
    <row r="8" spans="1:54" x14ac:dyDescent="0.25">
      <c r="A8">
        <v>1.8966E-3</v>
      </c>
      <c r="B8">
        <v>1.7695E-3</v>
      </c>
      <c r="C8">
        <v>2.2824E-3</v>
      </c>
      <c r="D8">
        <v>2.5885999999999999E-3</v>
      </c>
      <c r="E8">
        <v>3.8465000000000001E-3</v>
      </c>
      <c r="F8">
        <v>5.5970999999999998E-3</v>
      </c>
      <c r="G8">
        <v>9.7152999999999996E-3</v>
      </c>
      <c r="H8">
        <v>1.7417100000000001E-2</v>
      </c>
      <c r="I8">
        <v>3.2553699999999998E-2</v>
      </c>
      <c r="J8">
        <v>6.3380800000000001E-2</v>
      </c>
      <c r="K8">
        <v>0.12553600000000001</v>
      </c>
      <c r="L8">
        <v>0.249169</v>
      </c>
      <c r="M8">
        <v>0.49956400000000001</v>
      </c>
      <c r="N8">
        <v>0.99699300000000002</v>
      </c>
      <c r="O8">
        <v>2.0024999999999999</v>
      </c>
      <c r="P8">
        <v>4.0017100000000001</v>
      </c>
      <c r="Q8">
        <v>6.8795999999999996E-3</v>
      </c>
      <c r="R8">
        <v>1.48022E-2</v>
      </c>
      <c r="S8">
        <v>2.74744E-2</v>
      </c>
      <c r="T8">
        <v>5.47015E-2</v>
      </c>
      <c r="U8">
        <v>0.105237</v>
      </c>
      <c r="V8">
        <v>0.22642999999999999</v>
      </c>
      <c r="W8">
        <v>0.42650199999999999</v>
      </c>
      <c r="X8">
        <v>0.84063100000000002</v>
      </c>
      <c r="Y8">
        <v>1.79467</v>
      </c>
      <c r="Z8">
        <v>3.4679700000000002</v>
      </c>
      <c r="AA8">
        <v>7.0474500000000004</v>
      </c>
      <c r="AB8">
        <v>1.4801E-3</v>
      </c>
      <c r="AC8">
        <v>1.5428E-3</v>
      </c>
      <c r="AD8">
        <v>1.5746E-3</v>
      </c>
      <c r="AE8">
        <v>2.2504999999999999E-3</v>
      </c>
      <c r="AF8">
        <v>3.5157000000000001E-3</v>
      </c>
      <c r="AG8">
        <v>5.2893999999999997E-3</v>
      </c>
      <c r="AH8">
        <v>9.2438999999999993E-3</v>
      </c>
      <c r="AI8">
        <v>1.7252099999999999E-2</v>
      </c>
      <c r="AJ8">
        <v>3.3252700000000003E-2</v>
      </c>
      <c r="AK8">
        <v>6.4905500000000005E-2</v>
      </c>
      <c r="AL8">
        <v>0.128274</v>
      </c>
      <c r="AM8">
        <v>0.25799499999999997</v>
      </c>
      <c r="AN8">
        <v>0.51497499999999996</v>
      </c>
      <c r="AO8">
        <v>1.0343</v>
      </c>
      <c r="AP8">
        <v>2.0658500000000002</v>
      </c>
      <c r="AQ8">
        <v>4.1297800000000002</v>
      </c>
      <c r="AR8">
        <v>1.1067199999999999E-2</v>
      </c>
      <c r="AS8">
        <v>2.2217899999999999E-2</v>
      </c>
      <c r="AT8">
        <v>4.4972199999999997E-2</v>
      </c>
      <c r="AU8">
        <v>9.1258599999999995E-2</v>
      </c>
      <c r="AV8">
        <v>0.17494100000000001</v>
      </c>
      <c r="AW8">
        <v>0.35371900000000001</v>
      </c>
      <c r="AX8">
        <v>0.69511400000000001</v>
      </c>
      <c r="AY8">
        <v>1.40364</v>
      </c>
      <c r="AZ8">
        <v>2.8653499999999998</v>
      </c>
      <c r="BA8">
        <v>5.5957100000000004</v>
      </c>
      <c r="BB8">
        <v>11.275600000000001</v>
      </c>
    </row>
    <row r="9" spans="1:54" x14ac:dyDescent="0.25">
      <c r="A9">
        <v>1.8481000000000001E-3</v>
      </c>
      <c r="B9">
        <v>1.7696999999999999E-3</v>
      </c>
      <c r="C9">
        <v>2.3833999999999999E-3</v>
      </c>
      <c r="D9">
        <v>2.6416E-3</v>
      </c>
      <c r="E9">
        <v>3.7038000000000001E-3</v>
      </c>
      <c r="F9">
        <v>5.6454000000000001E-3</v>
      </c>
      <c r="G9">
        <v>9.7141999999999992E-3</v>
      </c>
      <c r="H9">
        <v>1.74208E-2</v>
      </c>
      <c r="I9">
        <v>3.2760999999999998E-2</v>
      </c>
      <c r="J9">
        <v>6.36819E-2</v>
      </c>
      <c r="K9">
        <v>0.12565000000000001</v>
      </c>
      <c r="L9">
        <v>0.24946099999999999</v>
      </c>
      <c r="M9">
        <v>0.49951200000000001</v>
      </c>
      <c r="N9">
        <v>0.99686300000000005</v>
      </c>
      <c r="O9">
        <v>2.0023499999999999</v>
      </c>
      <c r="P9">
        <v>4.0018500000000001</v>
      </c>
      <c r="Q9">
        <v>6.8329000000000003E-3</v>
      </c>
      <c r="R9">
        <v>1.4686100000000001E-2</v>
      </c>
      <c r="S9">
        <v>2.74363E-2</v>
      </c>
      <c r="T9">
        <v>5.4666199999999998E-2</v>
      </c>
      <c r="U9">
        <v>0.110378</v>
      </c>
      <c r="V9">
        <v>0.228495</v>
      </c>
      <c r="W9">
        <v>0.43118699999999999</v>
      </c>
      <c r="X9">
        <v>0.87741599999999997</v>
      </c>
      <c r="Y9">
        <v>1.79888</v>
      </c>
      <c r="Z9">
        <v>3.4616699999999998</v>
      </c>
      <c r="AA9">
        <v>6.9143600000000003</v>
      </c>
      <c r="AB9">
        <v>1.4166000000000001E-3</v>
      </c>
      <c r="AC9">
        <v>1.4105999999999999E-3</v>
      </c>
      <c r="AD9">
        <v>1.5516E-3</v>
      </c>
      <c r="AE9">
        <v>2.1825999999999998E-3</v>
      </c>
      <c r="AF9">
        <v>3.2155999999999999E-3</v>
      </c>
      <c r="AG9">
        <v>5.4013999999999998E-3</v>
      </c>
      <c r="AH9">
        <v>9.1771000000000005E-3</v>
      </c>
      <c r="AI9">
        <v>1.72274E-2</v>
      </c>
      <c r="AJ9">
        <v>3.3111099999999997E-2</v>
      </c>
      <c r="AK9">
        <v>6.4890000000000003E-2</v>
      </c>
      <c r="AL9">
        <v>0.12821099999999999</v>
      </c>
      <c r="AM9">
        <v>0.25786500000000001</v>
      </c>
      <c r="AN9">
        <v>0.51492800000000005</v>
      </c>
      <c r="AO9">
        <v>1.03396</v>
      </c>
      <c r="AP9">
        <v>2.0659299999999998</v>
      </c>
      <c r="AQ9">
        <v>4.1299299999999999</v>
      </c>
      <c r="AR9">
        <v>1.0649199999999999E-2</v>
      </c>
      <c r="AS9">
        <v>2.2253999999999999E-2</v>
      </c>
      <c r="AT9">
        <v>4.4140899999999997E-2</v>
      </c>
      <c r="AU9">
        <v>9.1283500000000004E-2</v>
      </c>
      <c r="AV9">
        <v>0.18481500000000001</v>
      </c>
      <c r="AW9">
        <v>0.34922799999999998</v>
      </c>
      <c r="AX9">
        <v>0.73487000000000002</v>
      </c>
      <c r="AY9">
        <v>1.3972100000000001</v>
      </c>
      <c r="AZ9">
        <v>2.94339</v>
      </c>
      <c r="BA9">
        <v>5.5883099999999999</v>
      </c>
      <c r="BB9">
        <v>11.3568</v>
      </c>
    </row>
    <row r="10" spans="1:54" x14ac:dyDescent="0.25">
      <c r="A10">
        <v>1.8178000000000001E-3</v>
      </c>
      <c r="B10">
        <v>1.9036000000000001E-3</v>
      </c>
      <c r="C10">
        <v>2.2636000000000002E-3</v>
      </c>
      <c r="D10">
        <v>3.0747000000000001E-3</v>
      </c>
      <c r="E10">
        <v>3.7469000000000001E-3</v>
      </c>
      <c r="F10">
        <v>5.6740000000000002E-3</v>
      </c>
      <c r="G10">
        <v>9.5388000000000001E-3</v>
      </c>
      <c r="H10">
        <v>1.72765E-2</v>
      </c>
      <c r="I10">
        <v>3.2943399999999998E-2</v>
      </c>
      <c r="J10">
        <v>6.3559699999999997E-2</v>
      </c>
      <c r="K10">
        <v>0.12562999999999999</v>
      </c>
      <c r="L10">
        <v>0.249114</v>
      </c>
      <c r="M10">
        <v>0.49958399999999997</v>
      </c>
      <c r="N10">
        <v>0.99708300000000005</v>
      </c>
      <c r="O10">
        <v>2.00224</v>
      </c>
      <c r="P10">
        <v>4.0021599999999999</v>
      </c>
      <c r="Q10">
        <v>6.9135999999999998E-3</v>
      </c>
      <c r="R10">
        <v>1.3588599999999999E-2</v>
      </c>
      <c r="S10">
        <v>2.7175499999999998E-2</v>
      </c>
      <c r="T10">
        <v>5.5058500000000003E-2</v>
      </c>
      <c r="U10">
        <v>0.110221</v>
      </c>
      <c r="V10">
        <v>0.213199</v>
      </c>
      <c r="W10">
        <v>0.45079999999999998</v>
      </c>
      <c r="X10">
        <v>0.83923700000000001</v>
      </c>
      <c r="Y10">
        <v>1.72681</v>
      </c>
      <c r="Z10">
        <v>3.4459200000000001</v>
      </c>
      <c r="AA10">
        <v>6.8559599999999996</v>
      </c>
      <c r="AB10">
        <v>1.4174000000000001E-3</v>
      </c>
      <c r="AC10">
        <v>1.5133E-3</v>
      </c>
      <c r="AD10">
        <v>1.5513E-3</v>
      </c>
      <c r="AE10">
        <v>2.14E-3</v>
      </c>
      <c r="AF10">
        <v>3.2017999999999999E-3</v>
      </c>
      <c r="AG10">
        <v>5.2319999999999997E-3</v>
      </c>
      <c r="AH10">
        <v>9.2729000000000006E-3</v>
      </c>
      <c r="AI10">
        <v>1.72497E-2</v>
      </c>
      <c r="AJ10">
        <v>3.3148900000000002E-2</v>
      </c>
      <c r="AK10">
        <v>6.4972299999999997E-2</v>
      </c>
      <c r="AL10">
        <v>0.12826100000000001</v>
      </c>
      <c r="AM10">
        <v>0.25803599999999999</v>
      </c>
      <c r="AN10">
        <v>0.51502999999999999</v>
      </c>
      <c r="AO10">
        <v>1.03406</v>
      </c>
      <c r="AP10">
        <v>2.0658500000000002</v>
      </c>
      <c r="AQ10">
        <v>4.1296400000000002</v>
      </c>
      <c r="AR10">
        <v>1.09709E-2</v>
      </c>
      <c r="AS10">
        <v>2.2303199999999999E-2</v>
      </c>
      <c r="AT10">
        <v>4.6226299999999998E-2</v>
      </c>
      <c r="AU10">
        <v>8.9903200000000003E-2</v>
      </c>
      <c r="AV10">
        <v>0.17521200000000001</v>
      </c>
      <c r="AW10">
        <v>0.34755599999999998</v>
      </c>
      <c r="AX10">
        <v>0.77519099999999996</v>
      </c>
      <c r="AY10">
        <v>1.4255599999999999</v>
      </c>
      <c r="AZ10">
        <v>2.8427199999999999</v>
      </c>
      <c r="BA10">
        <v>5.6406000000000001</v>
      </c>
      <c r="BB10">
        <v>11.224299999999999</v>
      </c>
    </row>
    <row r="11" spans="1:54" x14ac:dyDescent="0.25">
      <c r="A11">
        <v>1.8397000000000001E-3</v>
      </c>
      <c r="B11">
        <v>1.8069E-3</v>
      </c>
      <c r="C11">
        <v>2.5076999999999999E-3</v>
      </c>
      <c r="D11">
        <v>2.8287E-3</v>
      </c>
      <c r="E11">
        <v>3.7675E-3</v>
      </c>
      <c r="F11">
        <v>5.6157999999999998E-3</v>
      </c>
      <c r="G11">
        <v>9.5820999999999996E-3</v>
      </c>
      <c r="H11">
        <v>1.7446099999999999E-2</v>
      </c>
      <c r="I11">
        <v>3.2721199999999999E-2</v>
      </c>
      <c r="J11">
        <v>6.3424800000000003E-2</v>
      </c>
      <c r="K11">
        <v>0.125781</v>
      </c>
      <c r="L11">
        <v>0.249193</v>
      </c>
      <c r="M11">
        <v>0.49942900000000001</v>
      </c>
      <c r="N11">
        <v>0.99683100000000002</v>
      </c>
      <c r="O11">
        <v>2.0021900000000001</v>
      </c>
      <c r="P11">
        <v>4.0020699999999998</v>
      </c>
      <c r="Q11">
        <v>6.7888000000000002E-3</v>
      </c>
      <c r="R11">
        <v>1.33183E-2</v>
      </c>
      <c r="S11">
        <v>2.76899E-2</v>
      </c>
      <c r="T11">
        <v>5.46916E-2</v>
      </c>
      <c r="U11">
        <v>0.108297</v>
      </c>
      <c r="V11">
        <v>0.21057899999999999</v>
      </c>
      <c r="W11">
        <v>0.43461100000000003</v>
      </c>
      <c r="X11">
        <v>0.90254699999999999</v>
      </c>
      <c r="Y11">
        <v>1.8219700000000001</v>
      </c>
      <c r="Z11">
        <v>3.4391500000000002</v>
      </c>
      <c r="AA11">
        <v>6.9575199999999997</v>
      </c>
      <c r="AB11">
        <v>1.2666999999999999E-3</v>
      </c>
      <c r="AC11">
        <v>1.4025000000000001E-3</v>
      </c>
      <c r="AD11">
        <v>1.4936999999999999E-3</v>
      </c>
      <c r="AE11">
        <v>2.3922000000000001E-3</v>
      </c>
      <c r="AF11">
        <v>3.1946000000000001E-3</v>
      </c>
      <c r="AG11">
        <v>5.2186000000000003E-3</v>
      </c>
      <c r="AH11">
        <v>9.1978000000000008E-3</v>
      </c>
      <c r="AI11">
        <v>1.72648E-2</v>
      </c>
      <c r="AJ11">
        <v>3.3228100000000003E-2</v>
      </c>
      <c r="AK11">
        <v>6.4940499999999998E-2</v>
      </c>
      <c r="AL11">
        <v>0.128329</v>
      </c>
      <c r="AM11">
        <v>0.25815500000000002</v>
      </c>
      <c r="AN11">
        <v>0.51492899999999997</v>
      </c>
      <c r="AO11">
        <v>1.0340499999999999</v>
      </c>
      <c r="AP11">
        <v>2.0661399999999999</v>
      </c>
      <c r="AQ11">
        <v>4.1302199999999996</v>
      </c>
      <c r="AR11">
        <v>1.0903599999999999E-2</v>
      </c>
      <c r="AS11">
        <v>2.2274599999999999E-2</v>
      </c>
      <c r="AT11">
        <v>4.3831599999999998E-2</v>
      </c>
      <c r="AU11">
        <v>9.46935E-2</v>
      </c>
      <c r="AV11">
        <v>0.17633099999999999</v>
      </c>
      <c r="AW11">
        <v>0.342613</v>
      </c>
      <c r="AX11">
        <v>0.70273200000000002</v>
      </c>
      <c r="AY11">
        <v>1.4059699999999999</v>
      </c>
      <c r="AZ11">
        <v>2.8327399999999998</v>
      </c>
      <c r="BA11">
        <v>5.7951899999999998</v>
      </c>
      <c r="BB11">
        <v>11.3431</v>
      </c>
    </row>
    <row r="12" spans="1:54" x14ac:dyDescent="0.25">
      <c r="A12">
        <v>1.7451999999999999E-3</v>
      </c>
      <c r="B12">
        <v>1.8178000000000001E-3</v>
      </c>
      <c r="C12">
        <v>2.1481E-3</v>
      </c>
      <c r="D12">
        <v>2.6840000000000002E-3</v>
      </c>
      <c r="E12">
        <v>3.7475E-3</v>
      </c>
      <c r="F12">
        <v>5.6223000000000002E-3</v>
      </c>
      <c r="G12">
        <v>9.5835999999999994E-3</v>
      </c>
      <c r="H12">
        <v>1.7352200000000002E-2</v>
      </c>
      <c r="I12">
        <v>3.2937800000000003E-2</v>
      </c>
      <c r="J12">
        <v>6.3504900000000003E-2</v>
      </c>
      <c r="K12">
        <v>0.125697</v>
      </c>
      <c r="L12">
        <v>0.24911</v>
      </c>
      <c r="M12">
        <v>0.49967899999999998</v>
      </c>
      <c r="N12">
        <v>0.99675400000000003</v>
      </c>
      <c r="O12">
        <v>2.0021200000000001</v>
      </c>
      <c r="P12">
        <v>4.0018000000000002</v>
      </c>
      <c r="Q12">
        <v>6.5342999999999998E-3</v>
      </c>
      <c r="R12">
        <v>1.3319599999999999E-2</v>
      </c>
      <c r="S12">
        <v>2.7603300000000001E-2</v>
      </c>
      <c r="T12">
        <v>5.5745200000000002E-2</v>
      </c>
      <c r="U12">
        <v>0.107878</v>
      </c>
      <c r="V12">
        <v>0.22574</v>
      </c>
      <c r="W12">
        <v>0.43519200000000002</v>
      </c>
      <c r="X12">
        <v>0.89947299999999997</v>
      </c>
      <c r="Y12">
        <v>1.7172099999999999</v>
      </c>
      <c r="Z12">
        <v>3.4784899999999999</v>
      </c>
      <c r="AA12">
        <v>6.8831100000000003</v>
      </c>
      <c r="AB12">
        <v>1.2696999999999999E-3</v>
      </c>
      <c r="AC12">
        <v>1.4659E-3</v>
      </c>
      <c r="AD12">
        <v>1.5717999999999999E-3</v>
      </c>
      <c r="AE12">
        <v>2.3495999999999999E-3</v>
      </c>
      <c r="AF12">
        <v>3.2442E-3</v>
      </c>
      <c r="AG12">
        <v>5.2858000000000002E-3</v>
      </c>
      <c r="AH12">
        <v>9.1774000000000005E-3</v>
      </c>
      <c r="AI12">
        <v>1.7291399999999998E-2</v>
      </c>
      <c r="AJ12">
        <v>3.3165300000000002E-2</v>
      </c>
      <c r="AK12">
        <v>6.48928E-2</v>
      </c>
      <c r="AL12">
        <v>0.12830900000000001</v>
      </c>
      <c r="AM12">
        <v>0.25798599999999999</v>
      </c>
      <c r="AN12">
        <v>0.51509499999999997</v>
      </c>
      <c r="AO12">
        <v>1.03396</v>
      </c>
      <c r="AP12">
        <v>2.06595</v>
      </c>
      <c r="AQ12">
        <v>4.1294899999999997</v>
      </c>
      <c r="AR12">
        <v>1.0915899999999999E-2</v>
      </c>
      <c r="AS12">
        <v>2.2484500000000001E-2</v>
      </c>
      <c r="AT12">
        <v>4.4342600000000003E-2</v>
      </c>
      <c r="AU12">
        <v>8.9210600000000001E-2</v>
      </c>
      <c r="AV12">
        <v>0.17587800000000001</v>
      </c>
      <c r="AW12">
        <v>0.34844399999999998</v>
      </c>
      <c r="AX12">
        <v>0.69992699999999997</v>
      </c>
      <c r="AY12">
        <v>1.4162699999999999</v>
      </c>
      <c r="AZ12">
        <v>2.8772199999999999</v>
      </c>
      <c r="BA12">
        <v>5.6083999999999996</v>
      </c>
      <c r="BB12">
        <v>11.2767</v>
      </c>
    </row>
    <row r="13" spans="1:54" x14ac:dyDescent="0.25">
      <c r="A13">
        <v>1.8346E-3</v>
      </c>
      <c r="B13">
        <v>1.8881E-3</v>
      </c>
      <c r="C13">
        <v>2.0143000000000001E-3</v>
      </c>
      <c r="D13">
        <v>2.7157000000000001E-3</v>
      </c>
      <c r="E13">
        <v>3.6321999999999999E-3</v>
      </c>
      <c r="F13">
        <v>5.8732000000000003E-3</v>
      </c>
      <c r="G13">
        <v>9.5729000000000005E-3</v>
      </c>
      <c r="H13">
        <v>1.7353500000000001E-2</v>
      </c>
      <c r="I13">
        <v>3.3181200000000001E-2</v>
      </c>
      <c r="J13">
        <v>6.3234200000000004E-2</v>
      </c>
      <c r="K13">
        <v>0.12557699999999999</v>
      </c>
      <c r="L13">
        <v>0.24896199999999999</v>
      </c>
      <c r="M13">
        <v>0.49976599999999999</v>
      </c>
      <c r="N13">
        <v>0.99695299999999998</v>
      </c>
      <c r="O13">
        <v>2.0020699999999998</v>
      </c>
      <c r="P13">
        <v>4.00162</v>
      </c>
      <c r="Q13">
        <v>7.1452E-3</v>
      </c>
      <c r="R13">
        <v>1.3459499999999999E-2</v>
      </c>
      <c r="S13">
        <v>2.9174700000000001E-2</v>
      </c>
      <c r="T13">
        <v>5.4521E-2</v>
      </c>
      <c r="U13">
        <v>0.113523</v>
      </c>
      <c r="V13">
        <v>0.21290700000000001</v>
      </c>
      <c r="W13">
        <v>0.43213400000000002</v>
      </c>
      <c r="X13">
        <v>0.84075599999999995</v>
      </c>
      <c r="Y13">
        <v>1.7439499999999999</v>
      </c>
      <c r="Z13">
        <v>3.6404399999999999</v>
      </c>
      <c r="AA13">
        <v>6.9850000000000003</v>
      </c>
      <c r="AB13">
        <v>1.2355000000000001E-3</v>
      </c>
      <c r="AC13">
        <v>1.3492000000000001E-3</v>
      </c>
      <c r="AD13">
        <v>1.5617999999999999E-3</v>
      </c>
      <c r="AE13">
        <v>2.2436000000000001E-3</v>
      </c>
      <c r="AF13">
        <v>3.2328000000000001E-3</v>
      </c>
      <c r="AG13">
        <v>5.2094000000000003E-3</v>
      </c>
      <c r="AH13">
        <v>9.1417000000000009E-3</v>
      </c>
      <c r="AI13">
        <v>1.7347700000000001E-2</v>
      </c>
      <c r="AJ13">
        <v>3.3133599999999999E-2</v>
      </c>
      <c r="AK13">
        <v>6.4842200000000003E-2</v>
      </c>
      <c r="AL13">
        <v>0.12839800000000001</v>
      </c>
      <c r="AM13">
        <v>0.25792700000000002</v>
      </c>
      <c r="AN13">
        <v>0.51493</v>
      </c>
      <c r="AO13">
        <v>1.0344199999999999</v>
      </c>
      <c r="AP13">
        <v>2.06602</v>
      </c>
      <c r="AQ13">
        <v>4.1290500000000003</v>
      </c>
      <c r="AR13">
        <v>1.11713E-2</v>
      </c>
      <c r="AS13">
        <v>2.2348799999999999E-2</v>
      </c>
      <c r="AT13">
        <v>4.4672099999999999E-2</v>
      </c>
      <c r="AU13">
        <v>8.7024299999999999E-2</v>
      </c>
      <c r="AV13">
        <v>0.17634</v>
      </c>
      <c r="AW13">
        <v>0.35224100000000003</v>
      </c>
      <c r="AX13">
        <v>0.69952899999999996</v>
      </c>
      <c r="AY13">
        <v>1.3788499999999999</v>
      </c>
      <c r="AZ13">
        <v>2.8534600000000001</v>
      </c>
      <c r="BA13">
        <v>5.6332000000000004</v>
      </c>
      <c r="BB13">
        <v>11.234400000000001</v>
      </c>
    </row>
    <row r="14" spans="1:54" x14ac:dyDescent="0.25">
      <c r="A14">
        <v>1.8952000000000001E-3</v>
      </c>
      <c r="B14">
        <v>1.8511000000000001E-3</v>
      </c>
      <c r="C14">
        <v>2.0669E-3</v>
      </c>
      <c r="D14">
        <v>2.5344999999999999E-3</v>
      </c>
      <c r="E14">
        <v>3.7770999999999998E-3</v>
      </c>
      <c r="F14">
        <v>5.6211000000000004E-3</v>
      </c>
      <c r="G14">
        <v>9.4941999999999995E-3</v>
      </c>
      <c r="H14">
        <v>1.7677700000000001E-2</v>
      </c>
      <c r="I14">
        <v>3.2853800000000002E-2</v>
      </c>
      <c r="J14">
        <v>6.3549999999999995E-2</v>
      </c>
      <c r="K14">
        <v>0.12570300000000001</v>
      </c>
      <c r="L14">
        <v>0.248998</v>
      </c>
      <c r="M14">
        <v>0.49957600000000002</v>
      </c>
      <c r="N14">
        <v>0.99701600000000001</v>
      </c>
      <c r="O14">
        <v>2.0021499999999999</v>
      </c>
      <c r="P14">
        <v>4.0016100000000003</v>
      </c>
      <c r="Q14">
        <v>6.4888999999999997E-3</v>
      </c>
      <c r="R14">
        <v>1.39583E-2</v>
      </c>
      <c r="S14">
        <v>2.73844E-2</v>
      </c>
      <c r="T14">
        <v>5.3460800000000003E-2</v>
      </c>
      <c r="U14">
        <v>0.113455</v>
      </c>
      <c r="V14">
        <v>0.21782399999999999</v>
      </c>
      <c r="W14">
        <v>0.44740600000000003</v>
      </c>
      <c r="X14">
        <v>0.87649500000000002</v>
      </c>
      <c r="Y14">
        <v>1.74823</v>
      </c>
      <c r="Z14">
        <v>3.45811</v>
      </c>
      <c r="AA14">
        <v>6.9810400000000001</v>
      </c>
      <c r="AB14">
        <v>1.2717E-3</v>
      </c>
      <c r="AC14">
        <v>1.4239999999999999E-3</v>
      </c>
      <c r="AD14">
        <v>1.554E-3</v>
      </c>
      <c r="AE14">
        <v>2.1857000000000001E-3</v>
      </c>
      <c r="AF14">
        <v>3.2656999999999999E-3</v>
      </c>
      <c r="AG14">
        <v>5.2215999999999999E-3</v>
      </c>
      <c r="AH14">
        <v>9.1883999999999993E-3</v>
      </c>
      <c r="AI14">
        <v>1.7206599999999999E-2</v>
      </c>
      <c r="AJ14">
        <v>3.31404E-2</v>
      </c>
      <c r="AK14">
        <v>6.4810000000000006E-2</v>
      </c>
      <c r="AL14">
        <v>0.12816</v>
      </c>
      <c r="AM14">
        <v>0.25808500000000001</v>
      </c>
      <c r="AN14">
        <v>0.51501799999999998</v>
      </c>
      <c r="AO14">
        <v>1.0340100000000001</v>
      </c>
      <c r="AP14">
        <v>2.0658799999999999</v>
      </c>
      <c r="AQ14">
        <v>4.1290699999999996</v>
      </c>
      <c r="AR14">
        <v>1.1052599999999999E-2</v>
      </c>
      <c r="AS14">
        <v>2.2221899999999999E-2</v>
      </c>
      <c r="AT14">
        <v>4.7161000000000002E-2</v>
      </c>
      <c r="AU14">
        <v>8.9066999999999993E-2</v>
      </c>
      <c r="AV14">
        <v>0.18505099999999999</v>
      </c>
      <c r="AW14">
        <v>0.346277</v>
      </c>
      <c r="AX14">
        <v>0.70900600000000003</v>
      </c>
      <c r="AY14">
        <v>1.47725</v>
      </c>
      <c r="AZ14">
        <v>2.78782</v>
      </c>
      <c r="BA14">
        <v>5.7061200000000003</v>
      </c>
      <c r="BB14">
        <v>11.1942</v>
      </c>
    </row>
    <row r="15" spans="1:54" x14ac:dyDescent="0.25">
      <c r="A15">
        <v>1.7289E-3</v>
      </c>
      <c r="B15">
        <v>1.8320999999999999E-3</v>
      </c>
      <c r="C15">
        <v>2.1789999999999999E-3</v>
      </c>
      <c r="D15">
        <v>2.4918000000000002E-3</v>
      </c>
      <c r="E15">
        <v>3.7921999999999999E-3</v>
      </c>
      <c r="F15">
        <v>5.9354999999999998E-3</v>
      </c>
      <c r="G15">
        <v>9.8629000000000008E-3</v>
      </c>
      <c r="H15">
        <v>1.7476200000000001E-2</v>
      </c>
      <c r="I15">
        <v>3.2827700000000001E-2</v>
      </c>
      <c r="J15">
        <v>6.3590800000000003E-2</v>
      </c>
      <c r="K15">
        <v>0.125554</v>
      </c>
      <c r="L15">
        <v>0.24915200000000001</v>
      </c>
      <c r="M15">
        <v>0.49955300000000002</v>
      </c>
      <c r="N15">
        <v>0.99681200000000003</v>
      </c>
      <c r="O15">
        <v>2.00238</v>
      </c>
      <c r="P15">
        <v>4.0014399999999997</v>
      </c>
      <c r="Q15">
        <v>6.9753000000000003E-3</v>
      </c>
      <c r="R15">
        <v>1.35782E-2</v>
      </c>
      <c r="S15">
        <v>2.7813000000000001E-2</v>
      </c>
      <c r="T15">
        <v>5.4911700000000001E-2</v>
      </c>
      <c r="U15">
        <v>0.10860499999999999</v>
      </c>
      <c r="V15">
        <v>0.21790699999999999</v>
      </c>
      <c r="W15">
        <v>0.45129200000000003</v>
      </c>
      <c r="X15">
        <v>0.90055600000000002</v>
      </c>
      <c r="Y15">
        <v>1.73803</v>
      </c>
      <c r="Z15">
        <v>3.4556900000000002</v>
      </c>
      <c r="AA15">
        <v>6.9162699999999999</v>
      </c>
      <c r="AB15">
        <v>1.2488E-3</v>
      </c>
      <c r="AC15">
        <v>1.3339999999999999E-3</v>
      </c>
      <c r="AD15">
        <v>1.6115999999999999E-3</v>
      </c>
      <c r="AE15">
        <v>2.1353000000000001E-3</v>
      </c>
      <c r="AF15">
        <v>3.2661999999999999E-3</v>
      </c>
      <c r="AG15">
        <v>5.1831999999999998E-3</v>
      </c>
      <c r="AH15">
        <v>9.2187999999999992E-3</v>
      </c>
      <c r="AI15">
        <v>1.71795E-2</v>
      </c>
      <c r="AJ15">
        <v>3.3241600000000003E-2</v>
      </c>
      <c r="AK15">
        <v>6.4928799999999995E-2</v>
      </c>
      <c r="AL15">
        <v>0.12836400000000001</v>
      </c>
      <c r="AM15">
        <v>0.25799299999999997</v>
      </c>
      <c r="AN15">
        <v>0.51492199999999999</v>
      </c>
      <c r="AO15">
        <v>1.0340800000000001</v>
      </c>
      <c r="AP15">
        <v>2.0659399999999999</v>
      </c>
      <c r="AQ15">
        <v>4.1290500000000003</v>
      </c>
      <c r="AR15">
        <v>1.09882E-2</v>
      </c>
      <c r="AS15">
        <v>2.2540000000000001E-2</v>
      </c>
      <c r="AT15">
        <v>4.4768700000000002E-2</v>
      </c>
      <c r="AU15">
        <v>8.8213799999999995E-2</v>
      </c>
      <c r="AV15">
        <v>0.17336299999999999</v>
      </c>
      <c r="AW15">
        <v>0.354856</v>
      </c>
      <c r="AX15">
        <v>0.70365299999999997</v>
      </c>
      <c r="AY15">
        <v>1.41299</v>
      </c>
      <c r="AZ15">
        <v>2.92306</v>
      </c>
      <c r="BA15">
        <v>5.6373199999999999</v>
      </c>
      <c r="BB15">
        <v>11.243</v>
      </c>
    </row>
    <row r="16" spans="1:54" x14ac:dyDescent="0.25">
      <c r="A16">
        <v>1.8358999999999999E-3</v>
      </c>
      <c r="B16">
        <v>1.7907000000000001E-3</v>
      </c>
      <c r="C16">
        <v>2.0033999999999998E-3</v>
      </c>
      <c r="D16">
        <v>2.9596000000000002E-3</v>
      </c>
      <c r="E16">
        <v>3.7039999999999998E-3</v>
      </c>
      <c r="F16">
        <v>5.5471000000000001E-3</v>
      </c>
      <c r="G16">
        <v>9.7658999999999992E-3</v>
      </c>
      <c r="H16">
        <v>1.7271600000000002E-2</v>
      </c>
      <c r="I16">
        <v>3.2738200000000002E-2</v>
      </c>
      <c r="J16">
        <v>6.3744899999999993E-2</v>
      </c>
      <c r="K16">
        <v>0.12579799999999999</v>
      </c>
      <c r="L16">
        <v>0.24915999999999999</v>
      </c>
      <c r="M16">
        <v>0.49968800000000002</v>
      </c>
      <c r="N16">
        <v>0.99682599999999999</v>
      </c>
      <c r="O16">
        <v>2.0024500000000001</v>
      </c>
      <c r="P16">
        <v>4.0021399999999998</v>
      </c>
      <c r="Q16">
        <v>6.6119999999999998E-3</v>
      </c>
      <c r="R16">
        <v>1.35713E-2</v>
      </c>
      <c r="S16">
        <v>2.7733299999999999E-2</v>
      </c>
      <c r="T16">
        <v>5.51916E-2</v>
      </c>
      <c r="U16">
        <v>0.10954700000000001</v>
      </c>
      <c r="V16">
        <v>0.211698</v>
      </c>
      <c r="W16">
        <v>0.42941600000000002</v>
      </c>
      <c r="X16">
        <v>0.85706800000000005</v>
      </c>
      <c r="Y16">
        <v>1.79251</v>
      </c>
      <c r="Z16">
        <v>3.4623200000000001</v>
      </c>
      <c r="AA16">
        <v>6.8814000000000002</v>
      </c>
      <c r="AB16">
        <v>1.2490999999999999E-3</v>
      </c>
      <c r="AC16">
        <v>1.4472E-3</v>
      </c>
      <c r="AD16">
        <v>1.8232000000000001E-3</v>
      </c>
      <c r="AE16">
        <v>2.3056999999999999E-3</v>
      </c>
      <c r="AF16">
        <v>3.2087000000000001E-3</v>
      </c>
      <c r="AG16">
        <v>5.2575E-3</v>
      </c>
      <c r="AH16">
        <v>9.3174E-3</v>
      </c>
      <c r="AI16">
        <v>1.72298E-2</v>
      </c>
      <c r="AJ16">
        <v>3.3186E-2</v>
      </c>
      <c r="AK16">
        <v>6.4861100000000005E-2</v>
      </c>
      <c r="AL16">
        <v>0.12843199999999999</v>
      </c>
      <c r="AM16">
        <v>0.25795800000000002</v>
      </c>
      <c r="AN16">
        <v>0.51505599999999996</v>
      </c>
      <c r="AO16">
        <v>1.0341899999999999</v>
      </c>
      <c r="AP16">
        <v>2.0661800000000001</v>
      </c>
      <c r="AQ16">
        <v>4.1289600000000002</v>
      </c>
      <c r="AR16">
        <v>1.10951E-2</v>
      </c>
      <c r="AS16">
        <v>2.23514E-2</v>
      </c>
      <c r="AT16">
        <v>4.5404199999999999E-2</v>
      </c>
      <c r="AU16">
        <v>9.0015399999999995E-2</v>
      </c>
      <c r="AV16">
        <v>0.17865700000000001</v>
      </c>
      <c r="AW16">
        <v>0.35262700000000002</v>
      </c>
      <c r="AX16">
        <v>0.69926699999999997</v>
      </c>
      <c r="AY16">
        <v>1.38476</v>
      </c>
      <c r="AZ16">
        <v>2.8256800000000002</v>
      </c>
      <c r="BA16">
        <v>5.6075600000000003</v>
      </c>
      <c r="BB16">
        <v>11.132300000000001</v>
      </c>
    </row>
    <row r="17" spans="1:54" x14ac:dyDescent="0.25">
      <c r="A17">
        <v>2.0287999999999999E-3</v>
      </c>
      <c r="B17">
        <v>1.7825E-3</v>
      </c>
      <c r="C17">
        <v>1.9932000000000001E-3</v>
      </c>
      <c r="D17">
        <v>2.8427999999999999E-3</v>
      </c>
      <c r="E17">
        <v>3.7899000000000001E-3</v>
      </c>
      <c r="F17">
        <v>5.4686999999999999E-3</v>
      </c>
      <c r="G17">
        <v>9.6060999999999994E-3</v>
      </c>
      <c r="H17">
        <v>1.7257100000000001E-2</v>
      </c>
      <c r="I17">
        <v>3.27782E-2</v>
      </c>
      <c r="J17">
        <v>6.3475900000000002E-2</v>
      </c>
      <c r="K17">
        <v>0.12581999999999999</v>
      </c>
      <c r="L17">
        <v>0.249143</v>
      </c>
      <c r="M17">
        <v>0.49962400000000001</v>
      </c>
      <c r="N17">
        <v>0.99685400000000002</v>
      </c>
      <c r="O17">
        <v>2.0021</v>
      </c>
      <c r="P17">
        <v>4.0021699999999996</v>
      </c>
      <c r="Q17">
        <v>7.0028E-3</v>
      </c>
      <c r="R17">
        <v>1.4087300000000001E-2</v>
      </c>
      <c r="S17">
        <v>2.77512E-2</v>
      </c>
      <c r="T17">
        <v>5.8839599999999999E-2</v>
      </c>
      <c r="U17">
        <v>0.10979</v>
      </c>
      <c r="V17">
        <v>0.217194</v>
      </c>
      <c r="W17">
        <v>0.45152799999999998</v>
      </c>
      <c r="X17">
        <v>0.87904700000000002</v>
      </c>
      <c r="Y17">
        <v>1.7326299999999999</v>
      </c>
      <c r="Z17">
        <v>3.45953</v>
      </c>
      <c r="AA17">
        <v>6.92685</v>
      </c>
      <c r="AB17">
        <v>1.3163000000000001E-3</v>
      </c>
      <c r="AC17">
        <v>1.4113999999999999E-3</v>
      </c>
      <c r="AD17">
        <v>1.6044E-3</v>
      </c>
      <c r="AE17">
        <v>2.1194999999999999E-3</v>
      </c>
      <c r="AF17">
        <v>3.1995000000000001E-3</v>
      </c>
      <c r="AG17">
        <v>5.3230999999999999E-3</v>
      </c>
      <c r="AH17">
        <v>9.2642000000000002E-3</v>
      </c>
      <c r="AI17">
        <v>1.72952E-2</v>
      </c>
      <c r="AJ17">
        <v>3.33525E-2</v>
      </c>
      <c r="AK17">
        <v>6.4788899999999996E-2</v>
      </c>
      <c r="AL17">
        <v>0.128359</v>
      </c>
      <c r="AM17">
        <v>0.25795600000000002</v>
      </c>
      <c r="AN17">
        <v>0.51501399999999997</v>
      </c>
      <c r="AO17">
        <v>1.034</v>
      </c>
      <c r="AP17">
        <v>2.0661299999999998</v>
      </c>
      <c r="AQ17">
        <v>4.1292200000000001</v>
      </c>
      <c r="AR17">
        <v>1.10356E-2</v>
      </c>
      <c r="AS17">
        <v>2.48799E-2</v>
      </c>
      <c r="AT17">
        <v>4.6849700000000001E-2</v>
      </c>
      <c r="AU17">
        <v>9.4601099999999994E-2</v>
      </c>
      <c r="AV17">
        <v>0.18387400000000001</v>
      </c>
      <c r="AW17">
        <v>0.34958</v>
      </c>
      <c r="AX17">
        <v>0.698905</v>
      </c>
      <c r="AY17">
        <v>1.41429</v>
      </c>
      <c r="AZ17">
        <v>2.8609800000000001</v>
      </c>
      <c r="BA17">
        <v>5.6518600000000001</v>
      </c>
      <c r="BB17">
        <v>11.406599999999999</v>
      </c>
    </row>
    <row r="18" spans="1:54" x14ac:dyDescent="0.25">
      <c r="A18">
        <v>2.1697999999999999E-3</v>
      </c>
      <c r="B18">
        <v>1.7733E-3</v>
      </c>
      <c r="C18">
        <v>1.9353E-3</v>
      </c>
      <c r="D18">
        <v>3.0292000000000001E-3</v>
      </c>
      <c r="E18">
        <v>3.3882000000000001E-3</v>
      </c>
      <c r="F18">
        <v>5.5332999999999997E-3</v>
      </c>
      <c r="G18">
        <v>9.6162000000000001E-3</v>
      </c>
      <c r="H18">
        <v>1.7302999999999999E-2</v>
      </c>
      <c r="I18">
        <v>3.2888100000000003E-2</v>
      </c>
      <c r="J18">
        <v>6.3453499999999996E-2</v>
      </c>
      <c r="K18">
        <v>0.125531</v>
      </c>
      <c r="L18">
        <v>0.24920400000000001</v>
      </c>
      <c r="M18">
        <v>0.49965599999999999</v>
      </c>
      <c r="N18">
        <v>0.99685500000000005</v>
      </c>
      <c r="O18">
        <v>2.0021800000000001</v>
      </c>
      <c r="P18">
        <v>4.0020600000000002</v>
      </c>
      <c r="Q18">
        <v>7.3225E-3</v>
      </c>
      <c r="R18">
        <v>1.5029000000000001E-2</v>
      </c>
      <c r="S18">
        <v>2.78529E-2</v>
      </c>
      <c r="T18">
        <v>5.4986899999999998E-2</v>
      </c>
      <c r="U18">
        <v>0.10926900000000001</v>
      </c>
      <c r="V18">
        <v>0.21784700000000001</v>
      </c>
      <c r="W18">
        <v>0.42386600000000002</v>
      </c>
      <c r="X18">
        <v>0.90735600000000005</v>
      </c>
      <c r="Y18">
        <v>1.80802</v>
      </c>
      <c r="Z18">
        <v>3.4754200000000002</v>
      </c>
      <c r="AA18">
        <v>6.9360900000000001</v>
      </c>
      <c r="AB18">
        <v>1.3889E-3</v>
      </c>
      <c r="AC18">
        <v>1.3734000000000001E-3</v>
      </c>
      <c r="AD18">
        <v>1.5468999999999999E-3</v>
      </c>
      <c r="AE18">
        <v>2.3270999999999999E-3</v>
      </c>
      <c r="AF18">
        <v>3.1600999999999999E-3</v>
      </c>
      <c r="AG18">
        <v>5.2728000000000002E-3</v>
      </c>
      <c r="AH18">
        <v>9.2928999999999998E-3</v>
      </c>
      <c r="AI18">
        <v>1.7228199999999999E-2</v>
      </c>
      <c r="AJ18">
        <v>3.3485500000000001E-2</v>
      </c>
      <c r="AK18">
        <v>6.4934400000000003E-2</v>
      </c>
      <c r="AL18">
        <v>0.128303</v>
      </c>
      <c r="AM18">
        <v>0.25805400000000001</v>
      </c>
      <c r="AN18">
        <v>0.51492899999999997</v>
      </c>
      <c r="AO18">
        <v>1.0342199999999999</v>
      </c>
      <c r="AP18">
        <v>2.06609</v>
      </c>
      <c r="AQ18">
        <v>4.1295700000000002</v>
      </c>
      <c r="AR18">
        <v>1.09689E-2</v>
      </c>
      <c r="AS18">
        <v>2.56902E-2</v>
      </c>
      <c r="AT18">
        <v>4.8967700000000003E-2</v>
      </c>
      <c r="AU18">
        <v>8.8594599999999996E-2</v>
      </c>
      <c r="AV18">
        <v>0.185867</v>
      </c>
      <c r="AW18">
        <v>0.354763</v>
      </c>
      <c r="AX18">
        <v>0.69468399999999997</v>
      </c>
      <c r="AY18">
        <v>1.3766400000000001</v>
      </c>
      <c r="AZ18">
        <v>2.78688</v>
      </c>
      <c r="BA18">
        <v>5.60318</v>
      </c>
      <c r="BB18">
        <v>11.1326</v>
      </c>
    </row>
    <row r="19" spans="1:54" x14ac:dyDescent="0.25">
      <c r="A19">
        <v>2.0795000000000002E-3</v>
      </c>
      <c r="B19">
        <v>1.7733E-3</v>
      </c>
      <c r="C19">
        <v>2.0609999999999999E-3</v>
      </c>
      <c r="D19">
        <v>2.9799000000000002E-3</v>
      </c>
      <c r="E19">
        <v>3.6735000000000001E-3</v>
      </c>
      <c r="F19">
        <v>5.6904E-3</v>
      </c>
      <c r="G19">
        <v>9.6304000000000008E-3</v>
      </c>
      <c r="H19">
        <v>1.71643E-2</v>
      </c>
      <c r="I19">
        <v>3.32736E-2</v>
      </c>
      <c r="J19">
        <v>6.3269300000000001E-2</v>
      </c>
      <c r="K19">
        <v>0.125754</v>
      </c>
      <c r="L19">
        <v>0.24929599999999999</v>
      </c>
      <c r="M19">
        <v>0.499643</v>
      </c>
      <c r="N19">
        <v>0.99682099999999996</v>
      </c>
      <c r="O19">
        <v>2.0019999999999998</v>
      </c>
      <c r="P19">
        <v>4.0020199999999999</v>
      </c>
      <c r="Q19">
        <v>7.0638999999999997E-3</v>
      </c>
      <c r="R19">
        <v>1.48536E-2</v>
      </c>
      <c r="S19">
        <v>2.8827200000000001E-2</v>
      </c>
      <c r="T19">
        <v>5.5822499999999997E-2</v>
      </c>
      <c r="U19">
        <v>0.10828400000000001</v>
      </c>
      <c r="V19">
        <v>0.210697</v>
      </c>
      <c r="W19">
        <v>0.42504700000000001</v>
      </c>
      <c r="X19">
        <v>0.90520299999999998</v>
      </c>
      <c r="Y19">
        <v>1.7356</v>
      </c>
      <c r="Z19">
        <v>3.5438800000000001</v>
      </c>
      <c r="AA19">
        <v>7.0092999999999996</v>
      </c>
      <c r="AB19">
        <v>1.3299E-3</v>
      </c>
      <c r="AC19">
        <v>1.4122E-3</v>
      </c>
      <c r="AD19">
        <v>1.6306000000000001E-3</v>
      </c>
      <c r="AE19">
        <v>2.2192000000000002E-3</v>
      </c>
      <c r="AF19">
        <v>3.2656999999999999E-3</v>
      </c>
      <c r="AG19">
        <v>5.1917999999999999E-3</v>
      </c>
      <c r="AH19">
        <v>9.2479999999999993E-3</v>
      </c>
      <c r="AI19">
        <v>1.72918E-2</v>
      </c>
      <c r="AJ19">
        <v>3.3171199999999998E-2</v>
      </c>
      <c r="AK19">
        <v>6.49724E-2</v>
      </c>
      <c r="AL19">
        <v>0.12817300000000001</v>
      </c>
      <c r="AM19">
        <v>0.25801600000000002</v>
      </c>
      <c r="AN19">
        <v>0.51488500000000004</v>
      </c>
      <c r="AO19">
        <v>1.0341</v>
      </c>
      <c r="AP19">
        <v>2.06596</v>
      </c>
      <c r="AQ19">
        <v>4.1295000000000002</v>
      </c>
      <c r="AR19">
        <v>1.10524E-2</v>
      </c>
      <c r="AS19">
        <v>2.2524499999999999E-2</v>
      </c>
      <c r="AT19">
        <v>4.5760000000000002E-2</v>
      </c>
      <c r="AU19">
        <v>8.7532100000000002E-2</v>
      </c>
      <c r="AV19">
        <v>0.17985999999999999</v>
      </c>
      <c r="AW19">
        <v>0.34999400000000003</v>
      </c>
      <c r="AX19">
        <v>0.71259099999999997</v>
      </c>
      <c r="AY19">
        <v>1.44621</v>
      </c>
      <c r="AZ19">
        <v>2.7917200000000002</v>
      </c>
      <c r="BA19">
        <v>5.6180899999999996</v>
      </c>
      <c r="BB19">
        <v>11.2371</v>
      </c>
    </row>
    <row r="20" spans="1:54" x14ac:dyDescent="0.25">
      <c r="A20">
        <v>2.3146E-3</v>
      </c>
      <c r="B20">
        <v>1.8140000000000001E-3</v>
      </c>
      <c r="C20">
        <v>2.1075999999999998E-3</v>
      </c>
      <c r="D20">
        <v>2.7087000000000001E-3</v>
      </c>
      <c r="E20">
        <v>3.5852000000000002E-3</v>
      </c>
      <c r="F20">
        <v>5.6051E-3</v>
      </c>
      <c r="G20">
        <v>9.6016000000000001E-3</v>
      </c>
      <c r="H20">
        <v>1.7216499999999999E-2</v>
      </c>
      <c r="I20">
        <v>3.2888899999999999E-2</v>
      </c>
      <c r="J20">
        <v>6.3448099999999993E-2</v>
      </c>
      <c r="K20">
        <v>0.125693</v>
      </c>
      <c r="L20">
        <v>0.24910599999999999</v>
      </c>
      <c r="M20">
        <v>0.49957000000000001</v>
      </c>
      <c r="N20">
        <v>0.99683900000000003</v>
      </c>
      <c r="O20">
        <v>2.00197</v>
      </c>
      <c r="P20">
        <v>4.00197</v>
      </c>
      <c r="Q20">
        <v>6.9036000000000002E-3</v>
      </c>
      <c r="R20">
        <v>1.5167699999999999E-2</v>
      </c>
      <c r="S20">
        <v>2.75584E-2</v>
      </c>
      <c r="T20">
        <v>5.6117E-2</v>
      </c>
      <c r="U20">
        <v>0.116443</v>
      </c>
      <c r="V20">
        <v>0.21530199999999999</v>
      </c>
      <c r="W20">
        <v>0.43130600000000002</v>
      </c>
      <c r="X20">
        <v>0.86963500000000005</v>
      </c>
      <c r="Y20">
        <v>1.7421500000000001</v>
      </c>
      <c r="Z20">
        <v>3.4184000000000001</v>
      </c>
      <c r="AA20">
        <v>6.9715199999999999</v>
      </c>
      <c r="AB20">
        <v>1.4159999999999999E-3</v>
      </c>
      <c r="AC20">
        <v>1.3909E-3</v>
      </c>
      <c r="AD20">
        <v>1.6777000000000001E-3</v>
      </c>
      <c r="AE20">
        <v>2.1546999999999998E-3</v>
      </c>
      <c r="AF20">
        <v>3.1722999999999999E-3</v>
      </c>
      <c r="AG20">
        <v>5.2300999999999997E-3</v>
      </c>
      <c r="AH20">
        <v>9.3875E-3</v>
      </c>
      <c r="AI20">
        <v>1.7207500000000001E-2</v>
      </c>
      <c r="AJ20">
        <v>3.3200300000000002E-2</v>
      </c>
      <c r="AK20">
        <v>6.48426E-2</v>
      </c>
      <c r="AL20">
        <v>0.12818399999999999</v>
      </c>
      <c r="AM20">
        <v>0.257996</v>
      </c>
      <c r="AN20">
        <v>0.51495899999999994</v>
      </c>
      <c r="AO20">
        <v>1.03416</v>
      </c>
      <c r="AP20">
        <v>2.06602</v>
      </c>
      <c r="AQ20">
        <v>4.1297699999999997</v>
      </c>
      <c r="AR20">
        <v>1.12709E-2</v>
      </c>
      <c r="AS20">
        <v>2.2949199999999999E-2</v>
      </c>
      <c r="AT20">
        <v>4.6228199999999997E-2</v>
      </c>
      <c r="AU20">
        <v>8.7067699999999998E-2</v>
      </c>
      <c r="AV20">
        <v>0.175349</v>
      </c>
      <c r="AW20">
        <v>0.34905199999999997</v>
      </c>
      <c r="AX20">
        <v>0.69226399999999999</v>
      </c>
      <c r="AY20">
        <v>1.4241999999999999</v>
      </c>
      <c r="AZ20">
        <v>2.89513</v>
      </c>
      <c r="BA20">
        <v>5.7195</v>
      </c>
      <c r="BB20">
        <v>11.288399999999999</v>
      </c>
    </row>
    <row r="21" spans="1:54" x14ac:dyDescent="0.25">
      <c r="A21">
        <v>1.8067000000000001E-3</v>
      </c>
      <c r="B21">
        <v>1.8859E-3</v>
      </c>
      <c r="C21">
        <v>2.0301E-3</v>
      </c>
      <c r="D21">
        <v>2.7612000000000001E-3</v>
      </c>
      <c r="E21">
        <v>3.6272000000000001E-3</v>
      </c>
      <c r="F21">
        <v>5.6452999999999998E-3</v>
      </c>
      <c r="G21">
        <v>9.6203999999999994E-3</v>
      </c>
      <c r="H21">
        <v>1.7341800000000001E-2</v>
      </c>
      <c r="I21">
        <v>3.26527E-2</v>
      </c>
      <c r="J21">
        <v>6.3448199999999996E-2</v>
      </c>
      <c r="K21">
        <v>0.125582</v>
      </c>
      <c r="L21">
        <v>0.24915499999999999</v>
      </c>
      <c r="M21">
        <v>0.49960700000000002</v>
      </c>
      <c r="N21">
        <v>0.99696099999999999</v>
      </c>
      <c r="O21">
        <v>2.00204</v>
      </c>
      <c r="P21">
        <v>4.0022900000000003</v>
      </c>
      <c r="Q21">
        <v>6.8475999999999997E-3</v>
      </c>
      <c r="R21">
        <v>1.4707E-2</v>
      </c>
      <c r="S21">
        <v>2.9742399999999999E-2</v>
      </c>
      <c r="T21">
        <v>5.6403000000000002E-2</v>
      </c>
      <c r="U21">
        <v>0.10900899999999999</v>
      </c>
      <c r="V21">
        <v>0.21435799999999999</v>
      </c>
      <c r="W21">
        <v>0.43034099999999997</v>
      </c>
      <c r="X21">
        <v>0.892235</v>
      </c>
      <c r="Y21">
        <v>1.8033699999999999</v>
      </c>
      <c r="Z21">
        <v>3.4894599999999998</v>
      </c>
      <c r="AA21">
        <v>6.96408</v>
      </c>
      <c r="AB21">
        <v>1.3558999999999999E-3</v>
      </c>
      <c r="AC21">
        <v>1.3875999999999999E-3</v>
      </c>
      <c r="AD21">
        <v>1.6360000000000001E-3</v>
      </c>
      <c r="AE21">
        <v>2.1819000000000001E-3</v>
      </c>
      <c r="AF21">
        <v>3.2553E-3</v>
      </c>
      <c r="AG21">
        <v>5.1897999999999996E-3</v>
      </c>
      <c r="AH21">
        <v>9.3094000000000007E-3</v>
      </c>
      <c r="AI21">
        <v>1.72333E-2</v>
      </c>
      <c r="AJ21">
        <v>3.3372499999999999E-2</v>
      </c>
      <c r="AK21">
        <v>6.4818399999999998E-2</v>
      </c>
      <c r="AL21">
        <v>0.128273</v>
      </c>
      <c r="AM21">
        <v>0.25831999999999999</v>
      </c>
      <c r="AN21">
        <v>0.51497599999999999</v>
      </c>
      <c r="AO21">
        <v>1.03399</v>
      </c>
      <c r="AP21">
        <v>2.06596</v>
      </c>
      <c r="AQ21">
        <v>4.1296400000000002</v>
      </c>
      <c r="AR21">
        <v>1.0923199999999999E-2</v>
      </c>
      <c r="AS21">
        <v>2.2820799999999999E-2</v>
      </c>
      <c r="AT21">
        <v>4.4401700000000002E-2</v>
      </c>
      <c r="AU21">
        <v>8.7283899999999998E-2</v>
      </c>
      <c r="AV21">
        <v>0.18124100000000001</v>
      </c>
      <c r="AW21">
        <v>0.351049</v>
      </c>
      <c r="AX21">
        <v>0.72273699999999996</v>
      </c>
      <c r="AY21">
        <v>1.3913199999999999</v>
      </c>
      <c r="AZ21">
        <v>2.8378199999999998</v>
      </c>
      <c r="BA21">
        <v>5.5760300000000003</v>
      </c>
      <c r="BB21">
        <v>11.2027</v>
      </c>
    </row>
    <row r="22" spans="1:54" x14ac:dyDescent="0.25">
      <c r="A22">
        <v>2.0539999999999998E-3</v>
      </c>
      <c r="B22">
        <v>1.8171999999999999E-3</v>
      </c>
      <c r="C22">
        <v>2.1515000000000002E-3</v>
      </c>
      <c r="D22">
        <v>2.4677000000000002E-3</v>
      </c>
      <c r="E22">
        <v>3.7158E-3</v>
      </c>
      <c r="F22">
        <v>5.8072000000000002E-3</v>
      </c>
      <c r="G22">
        <v>9.7234999999999995E-3</v>
      </c>
      <c r="H22">
        <v>1.7298000000000001E-2</v>
      </c>
      <c r="I22">
        <v>3.2718900000000002E-2</v>
      </c>
      <c r="J22">
        <v>6.3736500000000001E-2</v>
      </c>
      <c r="K22">
        <v>0.125634</v>
      </c>
      <c r="L22">
        <v>0.249144</v>
      </c>
      <c r="M22">
        <v>0.499558</v>
      </c>
      <c r="N22">
        <v>0.99682599999999999</v>
      </c>
      <c r="O22">
        <v>2.0019999999999998</v>
      </c>
      <c r="P22">
        <v>4.0017199999999997</v>
      </c>
      <c r="Q22">
        <v>7.0026999999999997E-3</v>
      </c>
      <c r="R22">
        <v>1.5002E-2</v>
      </c>
      <c r="S22">
        <v>2.9457799999999999E-2</v>
      </c>
      <c r="T22">
        <v>5.52951E-2</v>
      </c>
      <c r="U22">
        <v>0.11391800000000001</v>
      </c>
      <c r="V22">
        <v>0.21640200000000001</v>
      </c>
      <c r="W22">
        <v>0.42988199999999999</v>
      </c>
      <c r="X22">
        <v>0.847522</v>
      </c>
      <c r="Y22">
        <v>1.8088200000000001</v>
      </c>
      <c r="Z22">
        <v>3.5577899999999998</v>
      </c>
      <c r="AA22">
        <v>6.9083100000000002</v>
      </c>
      <c r="AB22">
        <v>1.3651E-3</v>
      </c>
      <c r="AC22">
        <v>1.5042E-3</v>
      </c>
      <c r="AD22">
        <v>1.5375E-3</v>
      </c>
      <c r="AE22">
        <v>2.1207000000000001E-3</v>
      </c>
      <c r="AF22">
        <v>3.2775999999999999E-3</v>
      </c>
      <c r="AG22">
        <v>5.3629000000000003E-3</v>
      </c>
      <c r="AH22">
        <v>9.1784999999999992E-3</v>
      </c>
      <c r="AI22">
        <v>1.72011E-2</v>
      </c>
      <c r="AJ22">
        <v>3.3174200000000001E-2</v>
      </c>
      <c r="AK22">
        <v>6.4936300000000002E-2</v>
      </c>
      <c r="AL22">
        <v>0.12812899999999999</v>
      </c>
      <c r="AM22">
        <v>0.25823400000000002</v>
      </c>
      <c r="AN22">
        <v>0.51497300000000001</v>
      </c>
      <c r="AO22">
        <v>1.0341100000000001</v>
      </c>
      <c r="AP22">
        <v>2.06603</v>
      </c>
      <c r="AQ22">
        <v>4.1297300000000003</v>
      </c>
      <c r="AR22">
        <v>1.1485E-2</v>
      </c>
      <c r="AS22">
        <v>2.3192399999999998E-2</v>
      </c>
      <c r="AT22">
        <v>4.4451999999999998E-2</v>
      </c>
      <c r="AU22">
        <v>8.9315699999999998E-2</v>
      </c>
      <c r="AV22">
        <v>0.18029999999999999</v>
      </c>
      <c r="AW22">
        <v>0.36036899999999999</v>
      </c>
      <c r="AX22">
        <v>0.69822300000000004</v>
      </c>
      <c r="AY22">
        <v>1.4071499999999999</v>
      </c>
      <c r="AZ22">
        <v>2.82681</v>
      </c>
      <c r="BA22">
        <v>5.6256199999999996</v>
      </c>
      <c r="BB22">
        <v>11.149699999999999</v>
      </c>
    </row>
    <row r="23" spans="1:54" x14ac:dyDescent="0.25">
      <c r="A23">
        <v>2.0014E-3</v>
      </c>
      <c r="B23">
        <v>3.5617999999999999E-3</v>
      </c>
      <c r="C23">
        <v>2.2829999999999999E-3</v>
      </c>
      <c r="D23">
        <v>2.4773999999999998E-3</v>
      </c>
      <c r="E23">
        <v>3.7827999999999998E-3</v>
      </c>
      <c r="F23">
        <v>6.0390000000000001E-3</v>
      </c>
      <c r="G23">
        <v>9.5940999999999995E-3</v>
      </c>
      <c r="H23">
        <v>1.73162E-2</v>
      </c>
      <c r="I23">
        <v>3.2635999999999998E-2</v>
      </c>
      <c r="J23">
        <v>6.35661E-2</v>
      </c>
      <c r="K23">
        <v>0.12564500000000001</v>
      </c>
      <c r="L23">
        <v>0.24934100000000001</v>
      </c>
      <c r="M23">
        <v>0.49946200000000002</v>
      </c>
      <c r="N23">
        <v>0.99684799999999996</v>
      </c>
      <c r="O23">
        <v>2.0019300000000002</v>
      </c>
      <c r="P23">
        <v>4.0018399999999996</v>
      </c>
      <c r="Q23">
        <v>6.6705999999999996E-3</v>
      </c>
      <c r="R23">
        <v>1.40006E-2</v>
      </c>
      <c r="S23">
        <v>2.7758600000000001E-2</v>
      </c>
      <c r="T23">
        <v>5.7005800000000002E-2</v>
      </c>
      <c r="U23">
        <v>0.108693</v>
      </c>
      <c r="V23">
        <v>0.229328</v>
      </c>
      <c r="W23">
        <v>0.43463200000000002</v>
      </c>
      <c r="X23">
        <v>0.86550000000000005</v>
      </c>
      <c r="Y23">
        <v>1.73969</v>
      </c>
      <c r="Z23">
        <v>3.4864099999999998</v>
      </c>
      <c r="AA23">
        <v>7.1038899999999998</v>
      </c>
      <c r="AB23">
        <v>1.3351000000000001E-3</v>
      </c>
      <c r="AC23">
        <v>1.4092E-3</v>
      </c>
      <c r="AD23">
        <v>1.6095E-3</v>
      </c>
      <c r="AE23">
        <v>2.1331000000000002E-3</v>
      </c>
      <c r="AF23">
        <v>3.2065000000000001E-3</v>
      </c>
      <c r="AG23">
        <v>5.2830999999999998E-3</v>
      </c>
      <c r="AH23">
        <v>9.4347000000000007E-3</v>
      </c>
      <c r="AI23">
        <v>1.7296099999999998E-2</v>
      </c>
      <c r="AJ23">
        <v>3.3034599999999997E-2</v>
      </c>
      <c r="AK23">
        <v>6.4886799999999994E-2</v>
      </c>
      <c r="AL23">
        <v>0.128326</v>
      </c>
      <c r="AM23">
        <v>0.25805600000000001</v>
      </c>
      <c r="AN23">
        <v>0.514934</v>
      </c>
      <c r="AO23">
        <v>1.03406</v>
      </c>
      <c r="AP23">
        <v>2.0658699999999999</v>
      </c>
      <c r="AQ23">
        <v>4.1297600000000001</v>
      </c>
      <c r="AR23">
        <v>1.09342E-2</v>
      </c>
      <c r="AS23">
        <v>2.48062E-2</v>
      </c>
      <c r="AT23">
        <v>4.6040900000000003E-2</v>
      </c>
      <c r="AU23">
        <v>8.8201299999999996E-2</v>
      </c>
      <c r="AV23">
        <v>0.179976</v>
      </c>
      <c r="AW23">
        <v>0.35408000000000001</v>
      </c>
      <c r="AX23">
        <v>0.69509900000000002</v>
      </c>
      <c r="AY23">
        <v>1.4670399999999999</v>
      </c>
      <c r="AZ23">
        <v>2.8052899999999998</v>
      </c>
      <c r="BA23">
        <v>5.6063700000000001</v>
      </c>
      <c r="BB23">
        <v>11.317</v>
      </c>
    </row>
    <row r="24" spans="1:54" x14ac:dyDescent="0.25">
      <c r="A24">
        <v>1.7995000000000001E-3</v>
      </c>
      <c r="B24">
        <v>1.8205999999999999E-3</v>
      </c>
      <c r="C24">
        <v>2.2331999999999999E-3</v>
      </c>
      <c r="D24">
        <v>2.5303999999999999E-3</v>
      </c>
      <c r="E24">
        <v>3.6795E-3</v>
      </c>
      <c r="F24">
        <v>6.1923999999999998E-3</v>
      </c>
      <c r="G24">
        <v>9.6760000000000006E-3</v>
      </c>
      <c r="H24">
        <v>1.721E-2</v>
      </c>
      <c r="I24">
        <v>3.2655900000000002E-2</v>
      </c>
      <c r="J24">
        <v>6.3452499999999995E-2</v>
      </c>
      <c r="K24">
        <v>0.125696</v>
      </c>
      <c r="L24">
        <v>0.249082</v>
      </c>
      <c r="M24">
        <v>0.49960300000000002</v>
      </c>
      <c r="N24">
        <v>0.99680500000000005</v>
      </c>
      <c r="O24">
        <v>2.0024199999999999</v>
      </c>
      <c r="P24">
        <v>4.0017399999999999</v>
      </c>
      <c r="Q24">
        <v>7.3149E-3</v>
      </c>
      <c r="R24">
        <v>1.38111E-2</v>
      </c>
      <c r="S24">
        <v>2.7414299999999999E-2</v>
      </c>
      <c r="T24">
        <v>5.4930399999999997E-2</v>
      </c>
      <c r="U24">
        <v>0.10652200000000001</v>
      </c>
      <c r="V24">
        <v>0.21329600000000001</v>
      </c>
      <c r="W24">
        <v>0.45399800000000001</v>
      </c>
      <c r="X24">
        <v>0.87017199999999995</v>
      </c>
      <c r="Y24">
        <v>1.7239800000000001</v>
      </c>
      <c r="Z24">
        <v>3.5903399999999999</v>
      </c>
      <c r="AA24">
        <v>7.0839600000000003</v>
      </c>
      <c r="AB24">
        <v>1.4970999999999999E-3</v>
      </c>
      <c r="AC24">
        <v>1.4302E-3</v>
      </c>
      <c r="AD24">
        <v>1.7305000000000001E-3</v>
      </c>
      <c r="AE24">
        <v>2.1551999999999999E-3</v>
      </c>
      <c r="AF24">
        <v>3.2691E-3</v>
      </c>
      <c r="AG24">
        <v>5.2161999999999998E-3</v>
      </c>
      <c r="AH24">
        <v>9.2899999999999996E-3</v>
      </c>
      <c r="AI24">
        <v>1.7168900000000001E-2</v>
      </c>
      <c r="AJ24">
        <v>3.3231499999999997E-2</v>
      </c>
      <c r="AK24">
        <v>6.4907000000000006E-2</v>
      </c>
      <c r="AL24">
        <v>0.12812999999999999</v>
      </c>
      <c r="AM24">
        <v>0.25799499999999997</v>
      </c>
      <c r="AN24">
        <v>0.514957</v>
      </c>
      <c r="AO24">
        <v>1.0342100000000001</v>
      </c>
      <c r="AP24">
        <v>2.0659800000000001</v>
      </c>
      <c r="AQ24">
        <v>4.1298199999999996</v>
      </c>
      <c r="AR24">
        <v>1.09842E-2</v>
      </c>
      <c r="AS24">
        <v>2.3187099999999999E-2</v>
      </c>
      <c r="AT24">
        <v>4.39231E-2</v>
      </c>
      <c r="AU24">
        <v>8.8707099999999997E-2</v>
      </c>
      <c r="AV24">
        <v>0.183363</v>
      </c>
      <c r="AW24">
        <v>0.35108899999999998</v>
      </c>
      <c r="AX24">
        <v>0.72226999999999997</v>
      </c>
      <c r="AY24">
        <v>1.40072</v>
      </c>
      <c r="AZ24">
        <v>2.8125499999999999</v>
      </c>
      <c r="BA24">
        <v>5.5809699999999998</v>
      </c>
      <c r="BB24">
        <v>11.3139</v>
      </c>
    </row>
    <row r="25" spans="1:54" x14ac:dyDescent="0.25">
      <c r="A25">
        <v>2.1456000000000001E-3</v>
      </c>
      <c r="B25">
        <v>1.7916E-3</v>
      </c>
      <c r="C25">
        <v>2.2158999999999998E-3</v>
      </c>
      <c r="D25">
        <v>2.5265999999999999E-3</v>
      </c>
      <c r="E25">
        <v>3.6099999999999999E-3</v>
      </c>
      <c r="F25">
        <v>5.5072000000000003E-3</v>
      </c>
      <c r="G25">
        <v>9.7713999999999995E-3</v>
      </c>
      <c r="H25">
        <v>1.7198499999999999E-2</v>
      </c>
      <c r="I25">
        <v>3.2809699999999997E-2</v>
      </c>
      <c r="J25">
        <v>6.3537300000000005E-2</v>
      </c>
      <c r="K25">
        <v>0.12569900000000001</v>
      </c>
      <c r="L25">
        <v>0.24918199999999999</v>
      </c>
      <c r="M25">
        <v>0.49972699999999998</v>
      </c>
      <c r="N25">
        <v>0.99684899999999999</v>
      </c>
      <c r="O25">
        <v>2.00257</v>
      </c>
      <c r="P25">
        <v>4.0019999999999998</v>
      </c>
      <c r="Q25">
        <v>6.8866999999999999E-3</v>
      </c>
      <c r="R25">
        <v>1.38227E-2</v>
      </c>
      <c r="S25">
        <v>2.7561200000000001E-2</v>
      </c>
      <c r="T25">
        <v>5.7028500000000003E-2</v>
      </c>
      <c r="U25">
        <v>0.112581</v>
      </c>
      <c r="V25">
        <v>0.219946</v>
      </c>
      <c r="W25">
        <v>0.444471</v>
      </c>
      <c r="X25">
        <v>0.89423200000000003</v>
      </c>
      <c r="Y25">
        <v>1.8000100000000001</v>
      </c>
      <c r="Z25">
        <v>3.4500799999999998</v>
      </c>
      <c r="AA25">
        <v>6.9886499999999998</v>
      </c>
      <c r="AB25">
        <v>1.5265000000000001E-3</v>
      </c>
      <c r="AC25">
        <v>1.4028000000000001E-3</v>
      </c>
      <c r="AD25">
        <v>1.5280999999999999E-3</v>
      </c>
      <c r="AE25">
        <v>2.0768000000000002E-3</v>
      </c>
      <c r="AF25">
        <v>3.2349000000000002E-3</v>
      </c>
      <c r="AG25">
        <v>5.2122000000000002E-3</v>
      </c>
      <c r="AH25">
        <v>9.2204999999999995E-3</v>
      </c>
      <c r="AI25">
        <v>1.72981E-2</v>
      </c>
      <c r="AJ25">
        <v>3.3213600000000003E-2</v>
      </c>
      <c r="AK25">
        <v>6.4733899999999997E-2</v>
      </c>
      <c r="AL25">
        <v>0.12806799999999999</v>
      </c>
      <c r="AM25">
        <v>0.25797900000000001</v>
      </c>
      <c r="AN25">
        <v>0.51488599999999995</v>
      </c>
      <c r="AO25">
        <v>1.0341499999999999</v>
      </c>
      <c r="AP25">
        <v>2.0658400000000001</v>
      </c>
      <c r="AQ25">
        <v>4.1294899999999997</v>
      </c>
      <c r="AR25">
        <v>1.12163E-2</v>
      </c>
      <c r="AS25">
        <v>2.2556799999999998E-2</v>
      </c>
      <c r="AT25">
        <v>4.3684199999999999E-2</v>
      </c>
      <c r="AU25">
        <v>8.6207199999999998E-2</v>
      </c>
      <c r="AV25">
        <v>0.18141299999999999</v>
      </c>
      <c r="AW25">
        <v>0.35020000000000001</v>
      </c>
      <c r="AX25">
        <v>0.69899900000000004</v>
      </c>
      <c r="AY25">
        <v>1.4006400000000001</v>
      </c>
      <c r="AZ25">
        <v>2.8112900000000001</v>
      </c>
      <c r="BA25">
        <v>5.5693400000000004</v>
      </c>
      <c r="BB25">
        <v>11.375</v>
      </c>
    </row>
    <row r="26" spans="1:54" x14ac:dyDescent="0.25">
      <c r="A26">
        <v>1.7692999999999999E-3</v>
      </c>
      <c r="B26">
        <v>1.7611E-3</v>
      </c>
      <c r="C26">
        <v>2.1516E-3</v>
      </c>
      <c r="D26">
        <v>2.8306999999999998E-3</v>
      </c>
      <c r="E26">
        <v>3.9563999999999997E-3</v>
      </c>
      <c r="F26">
        <v>5.6836999999999999E-3</v>
      </c>
      <c r="G26">
        <v>9.6586999999999992E-3</v>
      </c>
      <c r="H26">
        <v>1.73934E-2</v>
      </c>
      <c r="I26">
        <v>3.2868500000000002E-2</v>
      </c>
      <c r="J26">
        <v>6.3258499999999995E-2</v>
      </c>
      <c r="K26">
        <v>0.125503</v>
      </c>
      <c r="L26">
        <v>0.25048700000000002</v>
      </c>
      <c r="M26">
        <v>0.49978400000000001</v>
      </c>
      <c r="N26">
        <v>0.99681299999999995</v>
      </c>
      <c r="O26">
        <v>2.0021800000000001</v>
      </c>
      <c r="P26">
        <v>4.0021199999999997</v>
      </c>
      <c r="Q26">
        <v>6.9620000000000003E-3</v>
      </c>
      <c r="R26">
        <v>1.3516E-2</v>
      </c>
      <c r="S26">
        <v>2.80281E-2</v>
      </c>
      <c r="T26">
        <v>5.9724399999999997E-2</v>
      </c>
      <c r="U26">
        <v>0.106076</v>
      </c>
      <c r="V26">
        <v>0.22165000000000001</v>
      </c>
      <c r="W26">
        <v>0.44615500000000002</v>
      </c>
      <c r="X26">
        <v>0.86813200000000001</v>
      </c>
      <c r="Y26">
        <v>1.7834099999999999</v>
      </c>
      <c r="Z26">
        <v>3.5235099999999999</v>
      </c>
      <c r="AA26">
        <v>6.9150799999999997</v>
      </c>
      <c r="AB26">
        <v>1.4069E-3</v>
      </c>
      <c r="AC26">
        <v>1.4287E-3</v>
      </c>
      <c r="AD26">
        <v>1.6023999999999999E-3</v>
      </c>
      <c r="AE26">
        <v>2.222E-3</v>
      </c>
      <c r="AF26">
        <v>3.2322000000000002E-3</v>
      </c>
      <c r="AG26">
        <v>5.1955999999999999E-3</v>
      </c>
      <c r="AH26">
        <v>9.3326999999999993E-3</v>
      </c>
      <c r="AI26">
        <v>1.7401699999999999E-2</v>
      </c>
      <c r="AJ26">
        <v>3.31597E-2</v>
      </c>
      <c r="AK26">
        <v>6.4869300000000005E-2</v>
      </c>
      <c r="AL26">
        <v>0.12808800000000001</v>
      </c>
      <c r="AM26">
        <v>0.25831799999999999</v>
      </c>
      <c r="AN26">
        <v>0.51498900000000003</v>
      </c>
      <c r="AO26">
        <v>1.0341400000000001</v>
      </c>
      <c r="AP26">
        <v>2.0657399999999999</v>
      </c>
      <c r="AQ26">
        <v>4.1292400000000002</v>
      </c>
      <c r="AR26">
        <v>1.1083600000000001E-2</v>
      </c>
      <c r="AS26">
        <v>2.15792E-2</v>
      </c>
      <c r="AT26">
        <v>4.3856800000000001E-2</v>
      </c>
      <c r="AU26">
        <v>8.8420700000000005E-2</v>
      </c>
      <c r="AV26">
        <v>0.16978599999999999</v>
      </c>
      <c r="AW26">
        <v>0.35221000000000002</v>
      </c>
      <c r="AX26">
        <v>0.71068799999999999</v>
      </c>
      <c r="AY26">
        <v>1.4383699999999999</v>
      </c>
      <c r="AZ26">
        <v>2.7705299999999999</v>
      </c>
      <c r="BA26">
        <v>5.61693</v>
      </c>
      <c r="BB26">
        <v>11.3871</v>
      </c>
    </row>
    <row r="27" spans="1:54" x14ac:dyDescent="0.25">
      <c r="A27">
        <v>1.7815999999999999E-3</v>
      </c>
      <c r="B27">
        <v>1.7677000000000001E-3</v>
      </c>
      <c r="C27">
        <v>2.0661999999999998E-3</v>
      </c>
      <c r="D27">
        <v>2.5747000000000001E-3</v>
      </c>
      <c r="E27">
        <v>3.9822E-3</v>
      </c>
      <c r="F27">
        <v>5.6299999999999996E-3</v>
      </c>
      <c r="G27">
        <v>9.4684999999999995E-3</v>
      </c>
      <c r="H27">
        <v>1.7143800000000001E-2</v>
      </c>
      <c r="I27">
        <v>3.2764099999999997E-2</v>
      </c>
      <c r="J27">
        <v>6.3365500000000005E-2</v>
      </c>
      <c r="K27">
        <v>0.12564900000000001</v>
      </c>
      <c r="L27">
        <v>0.25085400000000002</v>
      </c>
      <c r="M27">
        <v>0.49949500000000002</v>
      </c>
      <c r="N27">
        <v>0.99675100000000005</v>
      </c>
      <c r="O27">
        <v>2.00217</v>
      </c>
      <c r="P27">
        <v>4.0020800000000003</v>
      </c>
      <c r="Q27">
        <v>6.8497999999999996E-3</v>
      </c>
      <c r="R27">
        <v>1.34509E-2</v>
      </c>
      <c r="S27">
        <v>2.73224E-2</v>
      </c>
      <c r="T27">
        <v>5.6638099999999997E-2</v>
      </c>
      <c r="U27">
        <v>0.113996</v>
      </c>
      <c r="V27">
        <v>0.21302399999999999</v>
      </c>
      <c r="W27">
        <v>0.42824000000000001</v>
      </c>
      <c r="X27">
        <v>0.84697900000000004</v>
      </c>
      <c r="Y27">
        <v>1.7317800000000001</v>
      </c>
      <c r="Z27">
        <v>3.4472</v>
      </c>
      <c r="AA27">
        <v>6.9479499999999996</v>
      </c>
      <c r="AB27">
        <v>1.3525E-3</v>
      </c>
      <c r="AC27">
        <v>1.4293999999999999E-3</v>
      </c>
      <c r="AD27">
        <v>1.5682000000000001E-3</v>
      </c>
      <c r="AE27">
        <v>2.2085E-3</v>
      </c>
      <c r="AF27">
        <v>3.2082999999999999E-3</v>
      </c>
      <c r="AG27">
        <v>5.2848000000000001E-3</v>
      </c>
      <c r="AH27">
        <v>9.2215999999999999E-3</v>
      </c>
      <c r="AI27">
        <v>1.7241599999999999E-2</v>
      </c>
      <c r="AJ27">
        <v>3.3242800000000003E-2</v>
      </c>
      <c r="AK27">
        <v>6.4771700000000001E-2</v>
      </c>
      <c r="AL27">
        <v>0.12817899999999999</v>
      </c>
      <c r="AM27">
        <v>0.25798900000000002</v>
      </c>
      <c r="AN27">
        <v>0.51501699999999995</v>
      </c>
      <c r="AO27">
        <v>1.03386</v>
      </c>
      <c r="AP27">
        <v>2.0658699999999999</v>
      </c>
      <c r="AQ27">
        <v>4.1294399999999998</v>
      </c>
      <c r="AR27">
        <v>1.09582E-2</v>
      </c>
      <c r="AS27">
        <v>2.2907899999999998E-2</v>
      </c>
      <c r="AT27">
        <v>4.6152400000000003E-2</v>
      </c>
      <c r="AU27">
        <v>8.81908E-2</v>
      </c>
      <c r="AV27">
        <v>0.174979</v>
      </c>
      <c r="AW27">
        <v>0.34975099999999998</v>
      </c>
      <c r="AX27">
        <v>0.68865699999999996</v>
      </c>
      <c r="AY27">
        <v>1.4384600000000001</v>
      </c>
      <c r="AZ27">
        <v>2.8845000000000001</v>
      </c>
      <c r="BA27">
        <v>5.7702499999999999</v>
      </c>
      <c r="BB27">
        <v>11.314399999999999</v>
      </c>
    </row>
    <row r="28" spans="1:54" x14ac:dyDescent="0.25">
      <c r="A28">
        <v>1.7110000000000001E-3</v>
      </c>
      <c r="B28">
        <v>2.0181999999999999E-3</v>
      </c>
      <c r="C28">
        <v>2.0225999999999998E-3</v>
      </c>
      <c r="D28">
        <v>2.5642E-3</v>
      </c>
      <c r="E28">
        <v>3.6968999999999999E-3</v>
      </c>
      <c r="F28">
        <v>5.5408999999999996E-3</v>
      </c>
      <c r="G28">
        <v>9.6521999999999997E-3</v>
      </c>
      <c r="H28">
        <v>1.7034500000000001E-2</v>
      </c>
      <c r="I28">
        <v>3.2857900000000002E-2</v>
      </c>
      <c r="J28">
        <v>6.36129E-2</v>
      </c>
      <c r="K28">
        <v>0.12574399999999999</v>
      </c>
      <c r="L28">
        <v>0.25061499999999998</v>
      </c>
      <c r="M28">
        <v>0.49952999999999997</v>
      </c>
      <c r="N28">
        <v>0.99691200000000002</v>
      </c>
      <c r="O28">
        <v>2.0022199999999999</v>
      </c>
      <c r="P28">
        <v>4.0021300000000002</v>
      </c>
      <c r="Q28">
        <v>7.1044000000000003E-3</v>
      </c>
      <c r="R28">
        <v>1.4124100000000001E-2</v>
      </c>
      <c r="S28">
        <v>2.7376899999999999E-2</v>
      </c>
      <c r="T28">
        <v>5.5936300000000001E-2</v>
      </c>
      <c r="U28">
        <v>0.11480899999999999</v>
      </c>
      <c r="V28">
        <v>0.212784</v>
      </c>
      <c r="W28">
        <v>0.420848</v>
      </c>
      <c r="X28">
        <v>0.888984</v>
      </c>
      <c r="Y28">
        <v>1.7297</v>
      </c>
      <c r="Z28">
        <v>3.4484599999999999</v>
      </c>
      <c r="AA28">
        <v>7.0615600000000001</v>
      </c>
      <c r="AB28">
        <v>1.4756000000000001E-3</v>
      </c>
      <c r="AC28">
        <v>1.3806000000000001E-3</v>
      </c>
      <c r="AD28">
        <v>1.5719E-3</v>
      </c>
      <c r="AE28">
        <v>2.2553E-3</v>
      </c>
      <c r="AF28">
        <v>3.2533000000000002E-3</v>
      </c>
      <c r="AG28">
        <v>5.2731000000000002E-3</v>
      </c>
      <c r="AH28">
        <v>9.3574999999999995E-3</v>
      </c>
      <c r="AI28">
        <v>1.71919E-2</v>
      </c>
      <c r="AJ28">
        <v>3.2955600000000002E-2</v>
      </c>
      <c r="AK28">
        <v>6.4826800000000004E-2</v>
      </c>
      <c r="AL28">
        <v>0.12814500000000001</v>
      </c>
      <c r="AM28">
        <v>0.25804500000000002</v>
      </c>
      <c r="AN28">
        <v>0.51496900000000001</v>
      </c>
      <c r="AO28">
        <v>1.03403</v>
      </c>
      <c r="AP28">
        <v>2.0656599999999998</v>
      </c>
      <c r="AQ28">
        <v>4.12934</v>
      </c>
      <c r="AR28">
        <v>1.16667E-2</v>
      </c>
      <c r="AS28">
        <v>2.2799E-2</v>
      </c>
      <c r="AT28">
        <v>4.49127E-2</v>
      </c>
      <c r="AU28">
        <v>8.8242399999999999E-2</v>
      </c>
      <c r="AV28">
        <v>0.17582800000000001</v>
      </c>
      <c r="AW28">
        <v>0.35184599999999999</v>
      </c>
      <c r="AX28">
        <v>0.72215799999999997</v>
      </c>
      <c r="AY28">
        <v>1.3834500000000001</v>
      </c>
      <c r="AZ28">
        <v>2.8173400000000002</v>
      </c>
      <c r="BA28">
        <v>5.5629099999999996</v>
      </c>
      <c r="BB28">
        <v>11.367599999999999</v>
      </c>
    </row>
    <row r="29" spans="1:54" x14ac:dyDescent="0.25">
      <c r="A29">
        <v>1.7623000000000001E-3</v>
      </c>
      <c r="B29">
        <v>2.1326000000000001E-3</v>
      </c>
      <c r="C29">
        <v>2.0584000000000002E-3</v>
      </c>
      <c r="D29">
        <v>2.4545000000000001E-3</v>
      </c>
      <c r="E29">
        <v>3.5285E-3</v>
      </c>
      <c r="F29">
        <v>5.5430999999999996E-3</v>
      </c>
      <c r="G29">
        <v>9.5081000000000002E-3</v>
      </c>
      <c r="H29">
        <v>1.7343999999999998E-2</v>
      </c>
      <c r="I29">
        <v>3.2843700000000003E-2</v>
      </c>
      <c r="J29">
        <v>6.3435099999999994E-2</v>
      </c>
      <c r="K29">
        <v>0.12568799999999999</v>
      </c>
      <c r="L29">
        <v>0.250527</v>
      </c>
      <c r="M29">
        <v>0.49987700000000002</v>
      </c>
      <c r="N29">
        <v>0.99689899999999998</v>
      </c>
      <c r="O29">
        <v>2.0019100000000001</v>
      </c>
      <c r="P29">
        <v>4.0020100000000003</v>
      </c>
      <c r="Q29">
        <v>7.3000000000000001E-3</v>
      </c>
      <c r="R29">
        <v>1.38843E-2</v>
      </c>
      <c r="S29">
        <v>2.7979299999999999E-2</v>
      </c>
      <c r="T29">
        <v>5.9186900000000001E-2</v>
      </c>
      <c r="U29">
        <v>0.106929</v>
      </c>
      <c r="V29">
        <v>0.22872500000000001</v>
      </c>
      <c r="W29">
        <v>0.43464000000000003</v>
      </c>
      <c r="X29">
        <v>0.86596300000000004</v>
      </c>
      <c r="Y29">
        <v>1.73089</v>
      </c>
      <c r="Z29">
        <v>3.4593699999999998</v>
      </c>
      <c r="AA29">
        <v>7.1403299999999996</v>
      </c>
      <c r="AB29">
        <v>1.4553000000000001E-3</v>
      </c>
      <c r="AC29">
        <v>1.4901000000000001E-3</v>
      </c>
      <c r="AD29">
        <v>1.5479999999999999E-3</v>
      </c>
      <c r="AE29">
        <v>2.0988999999999999E-3</v>
      </c>
      <c r="AF29">
        <v>3.1481E-3</v>
      </c>
      <c r="AG29">
        <v>5.2185E-3</v>
      </c>
      <c r="AH29">
        <v>9.4430999999999994E-3</v>
      </c>
      <c r="AI29">
        <v>1.7300200000000002E-2</v>
      </c>
      <c r="AJ29">
        <v>3.33069E-2</v>
      </c>
      <c r="AK29">
        <v>6.4838300000000001E-2</v>
      </c>
      <c r="AL29">
        <v>0.12831600000000001</v>
      </c>
      <c r="AM29">
        <v>0.25800800000000002</v>
      </c>
      <c r="AN29">
        <v>0.51490000000000002</v>
      </c>
      <c r="AO29">
        <v>1.0340199999999999</v>
      </c>
      <c r="AP29">
        <v>2.06595</v>
      </c>
      <c r="AQ29">
        <v>4.1298399999999997</v>
      </c>
      <c r="AR29">
        <v>1.11629E-2</v>
      </c>
      <c r="AS29">
        <v>2.1828E-2</v>
      </c>
      <c r="AT29">
        <v>4.6780799999999997E-2</v>
      </c>
      <c r="AU29">
        <v>8.7890499999999996E-2</v>
      </c>
      <c r="AV29">
        <v>0.17197100000000001</v>
      </c>
      <c r="AW29">
        <v>0.35047800000000001</v>
      </c>
      <c r="AX29">
        <v>0.69619900000000001</v>
      </c>
      <c r="AY29">
        <v>1.39083</v>
      </c>
      <c r="AZ29">
        <v>2.8173499999999998</v>
      </c>
      <c r="BA29">
        <v>5.5389600000000003</v>
      </c>
      <c r="BB29">
        <v>11.378399999999999</v>
      </c>
    </row>
    <row r="30" spans="1:54" x14ac:dyDescent="0.25">
      <c r="A30">
        <v>1.9474E-3</v>
      </c>
      <c r="B30">
        <v>2.4082999999999999E-3</v>
      </c>
      <c r="C30">
        <v>1.9586999999999999E-3</v>
      </c>
      <c r="D30">
        <v>2.5482999999999999E-3</v>
      </c>
      <c r="E30">
        <v>3.4835000000000001E-3</v>
      </c>
      <c r="F30">
        <v>5.5722999999999996E-3</v>
      </c>
      <c r="G30">
        <v>9.5963000000000003E-3</v>
      </c>
      <c r="H30">
        <v>1.7212700000000001E-2</v>
      </c>
      <c r="I30">
        <v>3.2918599999999999E-2</v>
      </c>
      <c r="J30">
        <v>6.3509899999999994E-2</v>
      </c>
      <c r="K30">
        <v>0.12567700000000001</v>
      </c>
      <c r="L30">
        <v>0.250471</v>
      </c>
      <c r="M30">
        <v>0.499614</v>
      </c>
      <c r="N30">
        <v>0.99690100000000004</v>
      </c>
      <c r="O30">
        <v>2.0022700000000002</v>
      </c>
      <c r="P30">
        <v>4.0022599999999997</v>
      </c>
      <c r="Q30">
        <v>6.7364E-3</v>
      </c>
      <c r="R30">
        <v>1.3831400000000001E-2</v>
      </c>
      <c r="S30">
        <v>2.7996500000000001E-2</v>
      </c>
      <c r="T30">
        <v>5.4716800000000003E-2</v>
      </c>
      <c r="U30">
        <v>0.11215600000000001</v>
      </c>
      <c r="V30">
        <v>0.21363299999999999</v>
      </c>
      <c r="W30">
        <v>0.43121100000000001</v>
      </c>
      <c r="X30">
        <v>0.84498799999999996</v>
      </c>
      <c r="Y30">
        <v>1.78857</v>
      </c>
      <c r="Z30">
        <v>3.5161099999999998</v>
      </c>
      <c r="AA30">
        <v>6.9966799999999996</v>
      </c>
      <c r="AB30">
        <v>1.2883E-3</v>
      </c>
      <c r="AC30">
        <v>1.3963999999999999E-3</v>
      </c>
      <c r="AD30">
        <v>1.5322999999999999E-3</v>
      </c>
      <c r="AE30">
        <v>2.2214000000000001E-3</v>
      </c>
      <c r="AF30">
        <v>3.1388000000000002E-3</v>
      </c>
      <c r="AG30">
        <v>5.1466000000000003E-3</v>
      </c>
      <c r="AH30">
        <v>9.5502E-3</v>
      </c>
      <c r="AI30">
        <v>1.71697E-2</v>
      </c>
      <c r="AJ30">
        <v>3.3077200000000001E-2</v>
      </c>
      <c r="AK30">
        <v>6.4792600000000006E-2</v>
      </c>
      <c r="AL30">
        <v>0.12832499999999999</v>
      </c>
      <c r="AM30">
        <v>0.25796799999999998</v>
      </c>
      <c r="AN30">
        <v>0.51504899999999998</v>
      </c>
      <c r="AO30">
        <v>1.034</v>
      </c>
      <c r="AP30">
        <v>2.0658599999999998</v>
      </c>
      <c r="AQ30">
        <v>4.1296400000000002</v>
      </c>
      <c r="AR30">
        <v>1.13664E-2</v>
      </c>
      <c r="AS30">
        <v>2.19851E-2</v>
      </c>
      <c r="AT30">
        <v>4.44844E-2</v>
      </c>
      <c r="AU30">
        <v>8.7679999999999994E-2</v>
      </c>
      <c r="AV30">
        <v>0.17554800000000001</v>
      </c>
      <c r="AW30">
        <v>0.36463699999999999</v>
      </c>
      <c r="AX30">
        <v>0.69173099999999998</v>
      </c>
      <c r="AY30">
        <v>1.3898600000000001</v>
      </c>
      <c r="AZ30">
        <v>2.8134899999999998</v>
      </c>
      <c r="BA30">
        <v>5.6231600000000004</v>
      </c>
      <c r="BB30">
        <v>11.235099999999999</v>
      </c>
    </row>
    <row r="31" spans="1:54" x14ac:dyDescent="0.25">
      <c r="A31">
        <v>1.7813E-3</v>
      </c>
      <c r="B31">
        <v>2.3644999999999998E-3</v>
      </c>
      <c r="C31">
        <v>1.9253E-3</v>
      </c>
      <c r="D31">
        <v>2.3949000000000002E-3</v>
      </c>
      <c r="E31">
        <v>3.5864E-3</v>
      </c>
      <c r="F31">
        <v>5.6055000000000002E-3</v>
      </c>
      <c r="G31">
        <v>9.5718000000000001E-3</v>
      </c>
      <c r="H31">
        <v>1.71299E-2</v>
      </c>
      <c r="I31">
        <v>3.2724400000000001E-2</v>
      </c>
      <c r="J31">
        <v>6.3627100000000006E-2</v>
      </c>
      <c r="K31">
        <v>0.125802</v>
      </c>
      <c r="L31">
        <v>0.25056099999999998</v>
      </c>
      <c r="M31">
        <v>0.499579</v>
      </c>
      <c r="N31">
        <v>0.99683900000000003</v>
      </c>
      <c r="O31">
        <v>2.0020500000000001</v>
      </c>
      <c r="P31">
        <v>4.0021699999999996</v>
      </c>
      <c r="Q31">
        <v>6.8662999999999997E-3</v>
      </c>
      <c r="R31">
        <v>1.37701E-2</v>
      </c>
      <c r="S31">
        <v>2.82426E-2</v>
      </c>
      <c r="T31">
        <v>5.5780000000000003E-2</v>
      </c>
      <c r="U31">
        <v>0.106351</v>
      </c>
      <c r="V31">
        <v>0.21661900000000001</v>
      </c>
      <c r="W31">
        <v>0.43215199999999998</v>
      </c>
      <c r="X31">
        <v>0.85068999999999995</v>
      </c>
      <c r="Y31">
        <v>1.74691</v>
      </c>
      <c r="Z31">
        <v>3.53729</v>
      </c>
      <c r="AA31">
        <v>7.0474600000000001</v>
      </c>
      <c r="AB31">
        <v>1.3518E-3</v>
      </c>
      <c r="AC31">
        <v>1.4651E-3</v>
      </c>
      <c r="AD31">
        <v>1.5615E-3</v>
      </c>
      <c r="AE31">
        <v>2.1286999999999999E-3</v>
      </c>
      <c r="AF31">
        <v>3.2070000000000002E-3</v>
      </c>
      <c r="AG31">
        <v>5.3146000000000001E-3</v>
      </c>
      <c r="AH31">
        <v>9.4407999999999992E-3</v>
      </c>
      <c r="AI31">
        <v>1.70679E-2</v>
      </c>
      <c r="AJ31">
        <v>3.3051700000000003E-2</v>
      </c>
      <c r="AK31">
        <v>6.4901899999999998E-2</v>
      </c>
      <c r="AL31">
        <v>0.128165</v>
      </c>
      <c r="AM31">
        <v>0.257988</v>
      </c>
      <c r="AN31">
        <v>0.51516600000000001</v>
      </c>
      <c r="AO31">
        <v>1.0341899999999999</v>
      </c>
      <c r="AP31">
        <v>2.0659999999999998</v>
      </c>
      <c r="AQ31">
        <v>4.1293199999999999</v>
      </c>
      <c r="AR31">
        <v>1.0971699999999999E-2</v>
      </c>
      <c r="AS31">
        <v>2.2267200000000001E-2</v>
      </c>
      <c r="AT31">
        <v>4.4048900000000002E-2</v>
      </c>
      <c r="AU31">
        <v>8.7968199999999996E-2</v>
      </c>
      <c r="AV31">
        <v>0.17640900000000001</v>
      </c>
      <c r="AW31">
        <v>0.35022900000000001</v>
      </c>
      <c r="AX31">
        <v>0.69890200000000002</v>
      </c>
      <c r="AY31">
        <v>1.4649399999999999</v>
      </c>
      <c r="AZ31">
        <v>2.7976999999999999</v>
      </c>
      <c r="BA31">
        <v>5.6078700000000001</v>
      </c>
      <c r="BB31">
        <v>11.2431</v>
      </c>
    </row>
    <row r="32" spans="1:54" x14ac:dyDescent="0.25">
      <c r="A32">
        <v>1.7206000000000001E-3</v>
      </c>
      <c r="B32">
        <v>1.7404E-3</v>
      </c>
      <c r="C32">
        <v>1.9120000000000001E-3</v>
      </c>
      <c r="D32">
        <v>2.3570000000000002E-3</v>
      </c>
      <c r="E32">
        <v>3.6733999999999998E-3</v>
      </c>
      <c r="F32">
        <v>5.6699000000000003E-3</v>
      </c>
      <c r="G32">
        <v>9.5776000000000003E-3</v>
      </c>
      <c r="H32">
        <v>1.7236100000000001E-2</v>
      </c>
      <c r="I32">
        <v>3.2662799999999999E-2</v>
      </c>
      <c r="J32">
        <v>6.3482200000000003E-2</v>
      </c>
      <c r="K32">
        <v>0.12565699999999999</v>
      </c>
      <c r="L32">
        <v>0.25065300000000001</v>
      </c>
      <c r="M32">
        <v>0.49953500000000001</v>
      </c>
      <c r="N32">
        <v>0.99704599999999999</v>
      </c>
      <c r="O32">
        <v>2.0023</v>
      </c>
      <c r="P32">
        <v>4.0018599999999998</v>
      </c>
      <c r="Q32">
        <v>7.5380000000000004E-3</v>
      </c>
      <c r="R32">
        <v>1.42249E-2</v>
      </c>
      <c r="S32">
        <v>2.72413E-2</v>
      </c>
      <c r="T32">
        <v>5.4462099999999999E-2</v>
      </c>
      <c r="U32">
        <v>0.112245</v>
      </c>
      <c r="V32">
        <v>0.21768299999999999</v>
      </c>
      <c r="W32">
        <v>0.45542899999999997</v>
      </c>
      <c r="X32">
        <v>0.881741</v>
      </c>
      <c r="Y32">
        <v>1.73309</v>
      </c>
      <c r="Z32">
        <v>3.5264899999999999</v>
      </c>
      <c r="AA32">
        <v>7.1060800000000004</v>
      </c>
      <c r="AB32">
        <v>1.3166E-3</v>
      </c>
      <c r="AC32">
        <v>1.3849999999999999E-3</v>
      </c>
      <c r="AD32">
        <v>1.6067E-3</v>
      </c>
      <c r="AE32">
        <v>2.1423000000000002E-3</v>
      </c>
      <c r="AF32">
        <v>3.2518999999999998E-3</v>
      </c>
      <c r="AG32">
        <v>5.2642000000000001E-3</v>
      </c>
      <c r="AH32">
        <v>9.5597000000000008E-3</v>
      </c>
      <c r="AI32">
        <v>1.7121600000000001E-2</v>
      </c>
      <c r="AJ32">
        <v>3.3060399999999997E-2</v>
      </c>
      <c r="AK32">
        <v>6.4729200000000001E-2</v>
      </c>
      <c r="AL32">
        <v>0.12818499999999999</v>
      </c>
      <c r="AM32">
        <v>0.25798300000000002</v>
      </c>
      <c r="AN32">
        <v>0.51515500000000003</v>
      </c>
      <c r="AO32">
        <v>1.0340499999999999</v>
      </c>
      <c r="AP32">
        <v>2.06616</v>
      </c>
      <c r="AQ32">
        <v>4.1298199999999996</v>
      </c>
      <c r="AR32">
        <v>1.12164E-2</v>
      </c>
      <c r="AS32">
        <v>2.5624899999999999E-2</v>
      </c>
      <c r="AT32">
        <v>4.7391200000000001E-2</v>
      </c>
      <c r="AU32">
        <v>8.8956300000000002E-2</v>
      </c>
      <c r="AV32">
        <v>0.17274700000000001</v>
      </c>
      <c r="AW32">
        <v>0.35089199999999998</v>
      </c>
      <c r="AX32">
        <v>0.71526800000000001</v>
      </c>
      <c r="AY32">
        <v>1.39584</v>
      </c>
      <c r="AZ32">
        <v>2.7880199999999999</v>
      </c>
      <c r="BA32">
        <v>5.57254</v>
      </c>
      <c r="BB32">
        <v>11.3673</v>
      </c>
    </row>
    <row r="33" spans="1:54" x14ac:dyDescent="0.25">
      <c r="A33">
        <v>1.7644E-3</v>
      </c>
      <c r="B33">
        <v>1.7531999999999999E-3</v>
      </c>
      <c r="C33">
        <v>1.9005000000000001E-3</v>
      </c>
      <c r="D33">
        <v>2.5098999999999998E-3</v>
      </c>
      <c r="E33">
        <v>3.6375999999999999E-3</v>
      </c>
      <c r="F33">
        <v>5.7134000000000004E-3</v>
      </c>
      <c r="G33">
        <v>9.6282999999999994E-3</v>
      </c>
      <c r="H33">
        <v>1.7260899999999999E-2</v>
      </c>
      <c r="I33">
        <v>3.2576500000000001E-2</v>
      </c>
      <c r="J33">
        <v>6.3391400000000001E-2</v>
      </c>
      <c r="K33">
        <v>0.125913</v>
      </c>
      <c r="L33">
        <v>0.25057499999999999</v>
      </c>
      <c r="M33">
        <v>0.49946200000000002</v>
      </c>
      <c r="N33">
        <v>0.996892</v>
      </c>
      <c r="O33">
        <v>2.0020500000000001</v>
      </c>
      <c r="P33">
        <v>4.0016400000000001</v>
      </c>
      <c r="Q33">
        <v>7.4708999999999999E-3</v>
      </c>
      <c r="R33">
        <v>1.3991E-2</v>
      </c>
      <c r="S33">
        <v>3.0833900000000001E-2</v>
      </c>
      <c r="T33">
        <v>5.4232500000000003E-2</v>
      </c>
      <c r="U33">
        <v>0.109574</v>
      </c>
      <c r="V33">
        <v>0.21731300000000001</v>
      </c>
      <c r="W33">
        <v>0.43269800000000003</v>
      </c>
      <c r="X33">
        <v>0.89196799999999998</v>
      </c>
      <c r="Y33">
        <v>1.8073399999999999</v>
      </c>
      <c r="Z33">
        <v>3.4249800000000001</v>
      </c>
      <c r="AA33">
        <v>6.9251500000000004</v>
      </c>
      <c r="AB33">
        <v>1.2366E-3</v>
      </c>
      <c r="AC33">
        <v>1.3625E-3</v>
      </c>
      <c r="AD33">
        <v>1.585E-3</v>
      </c>
      <c r="AE33">
        <v>2.1337999999999999E-3</v>
      </c>
      <c r="AF33">
        <v>3.3124999999999999E-3</v>
      </c>
      <c r="AG33">
        <v>5.2078000000000003E-3</v>
      </c>
      <c r="AH33">
        <v>9.2683999999999996E-3</v>
      </c>
      <c r="AI33">
        <v>1.7255E-2</v>
      </c>
      <c r="AJ33">
        <v>3.3070799999999997E-2</v>
      </c>
      <c r="AK33">
        <v>6.4852499999999993E-2</v>
      </c>
      <c r="AL33">
        <v>0.128248</v>
      </c>
      <c r="AM33">
        <v>0.25794400000000001</v>
      </c>
      <c r="AN33">
        <v>0.51503600000000005</v>
      </c>
      <c r="AO33">
        <v>1.03427</v>
      </c>
      <c r="AP33">
        <v>2.0661399999999999</v>
      </c>
      <c r="AQ33">
        <v>4.1294399999999998</v>
      </c>
      <c r="AR33">
        <v>1.10521E-2</v>
      </c>
      <c r="AS33">
        <v>2.3260099999999999E-2</v>
      </c>
      <c r="AT33">
        <v>4.4071300000000001E-2</v>
      </c>
      <c r="AU33">
        <v>8.9959600000000001E-2</v>
      </c>
      <c r="AV33">
        <v>0.174454</v>
      </c>
      <c r="AW33">
        <v>0.33921200000000001</v>
      </c>
      <c r="AX33">
        <v>0.69941500000000001</v>
      </c>
      <c r="AY33">
        <v>1.4032100000000001</v>
      </c>
      <c r="AZ33">
        <v>2.7786300000000002</v>
      </c>
      <c r="BA33">
        <v>5.6233899999999997</v>
      </c>
      <c r="BB33">
        <v>11.390700000000001</v>
      </c>
    </row>
    <row r="34" spans="1:54" x14ac:dyDescent="0.25">
      <c r="A34">
        <v>1.6734E-3</v>
      </c>
      <c r="B34">
        <v>1.7041000000000001E-3</v>
      </c>
      <c r="C34">
        <v>2.0246999999999999E-3</v>
      </c>
      <c r="D34">
        <v>2.6621000000000001E-3</v>
      </c>
      <c r="E34">
        <v>3.5542E-3</v>
      </c>
      <c r="F34">
        <v>5.4781999999999999E-3</v>
      </c>
      <c r="G34">
        <v>9.4541999999999994E-3</v>
      </c>
      <c r="H34">
        <v>1.76147E-2</v>
      </c>
      <c r="I34">
        <v>3.2726600000000002E-2</v>
      </c>
      <c r="J34">
        <v>6.3463400000000003E-2</v>
      </c>
      <c r="K34">
        <v>0.125828</v>
      </c>
      <c r="L34">
        <v>0.25077899999999997</v>
      </c>
      <c r="M34">
        <v>0.499527</v>
      </c>
      <c r="N34">
        <v>0.99688100000000002</v>
      </c>
      <c r="O34">
        <v>2.00204</v>
      </c>
      <c r="P34">
        <v>4.0019400000000003</v>
      </c>
      <c r="Q34">
        <v>7.1827999999999996E-3</v>
      </c>
      <c r="R34">
        <v>1.36267E-2</v>
      </c>
      <c r="S34">
        <v>2.7766300000000001E-2</v>
      </c>
      <c r="T34">
        <v>5.49843E-2</v>
      </c>
      <c r="U34">
        <v>0.10857799999999999</v>
      </c>
      <c r="V34">
        <v>0.21593899999999999</v>
      </c>
      <c r="W34">
        <v>0.439052</v>
      </c>
      <c r="X34">
        <v>0.88817699999999999</v>
      </c>
      <c r="Y34">
        <v>1.76033</v>
      </c>
      <c r="Z34">
        <v>3.5123000000000002</v>
      </c>
      <c r="AA34">
        <v>7.0393400000000002</v>
      </c>
      <c r="AB34">
        <v>1.3499E-3</v>
      </c>
      <c r="AC34">
        <v>1.4047E-3</v>
      </c>
      <c r="AD34">
        <v>1.5536E-3</v>
      </c>
      <c r="AE34">
        <v>2.1622999999999998E-3</v>
      </c>
      <c r="AF34">
        <v>3.2220999999999999E-3</v>
      </c>
      <c r="AG34">
        <v>5.2694999999999999E-3</v>
      </c>
      <c r="AH34">
        <v>9.2420999999999996E-3</v>
      </c>
      <c r="AI34">
        <v>1.7206200000000001E-2</v>
      </c>
      <c r="AJ34">
        <v>3.3146299999999997E-2</v>
      </c>
      <c r="AK34">
        <v>6.4874399999999999E-2</v>
      </c>
      <c r="AL34">
        <v>0.128164</v>
      </c>
      <c r="AM34">
        <v>0.25802999999999998</v>
      </c>
      <c r="AN34">
        <v>0.51482399999999995</v>
      </c>
      <c r="AO34">
        <v>1.0340199999999999</v>
      </c>
      <c r="AP34">
        <v>2.0662400000000001</v>
      </c>
      <c r="AQ34">
        <v>4.1293600000000001</v>
      </c>
      <c r="AR34">
        <v>1.10705E-2</v>
      </c>
      <c r="AS34">
        <v>2.3544800000000001E-2</v>
      </c>
      <c r="AT34">
        <v>4.3951400000000002E-2</v>
      </c>
      <c r="AU34">
        <v>8.7865399999999996E-2</v>
      </c>
      <c r="AV34">
        <v>0.16971800000000001</v>
      </c>
      <c r="AW34">
        <v>0.36346899999999999</v>
      </c>
      <c r="AX34">
        <v>0.70249899999999998</v>
      </c>
      <c r="AY34">
        <v>1.4104300000000001</v>
      </c>
      <c r="AZ34">
        <v>2.8790800000000001</v>
      </c>
      <c r="BA34">
        <v>5.6128</v>
      </c>
      <c r="BB34">
        <v>11.4056</v>
      </c>
    </row>
    <row r="35" spans="1:54" x14ac:dyDescent="0.25">
      <c r="A35">
        <v>1.6651999999999999E-3</v>
      </c>
      <c r="B35">
        <v>1.9396000000000001E-3</v>
      </c>
      <c r="C35">
        <v>2.0233999999999999E-3</v>
      </c>
      <c r="D35">
        <v>2.4995E-3</v>
      </c>
      <c r="E35">
        <v>3.6778000000000002E-3</v>
      </c>
      <c r="F35">
        <v>5.6547999999999998E-3</v>
      </c>
      <c r="G35">
        <v>9.5282000000000006E-3</v>
      </c>
      <c r="H35">
        <v>1.7314800000000002E-2</v>
      </c>
      <c r="I35">
        <v>3.2792000000000002E-2</v>
      </c>
      <c r="J35">
        <v>6.3347100000000003E-2</v>
      </c>
      <c r="K35">
        <v>0.12578800000000001</v>
      </c>
      <c r="L35">
        <v>0.25054300000000002</v>
      </c>
      <c r="M35">
        <v>0.49951899999999999</v>
      </c>
      <c r="N35">
        <v>0.996672</v>
      </c>
      <c r="O35">
        <v>2.0023200000000001</v>
      </c>
      <c r="P35">
        <v>4.0021300000000002</v>
      </c>
      <c r="Q35">
        <v>7.0346000000000002E-3</v>
      </c>
      <c r="R35">
        <v>1.4172000000000001E-2</v>
      </c>
      <c r="S35">
        <v>2.8705399999999999E-2</v>
      </c>
      <c r="T35">
        <v>5.5447900000000001E-2</v>
      </c>
      <c r="U35">
        <v>0.10897900000000001</v>
      </c>
      <c r="V35">
        <v>0.21684</v>
      </c>
      <c r="W35">
        <v>0.42702200000000001</v>
      </c>
      <c r="X35">
        <v>0.91620500000000005</v>
      </c>
      <c r="Y35">
        <v>1.7733300000000001</v>
      </c>
      <c r="Z35">
        <v>3.5274899999999998</v>
      </c>
      <c r="AA35">
        <v>6.9918100000000001</v>
      </c>
      <c r="AB35">
        <v>1.3006999999999999E-3</v>
      </c>
      <c r="AC35">
        <v>1.4312999999999999E-3</v>
      </c>
      <c r="AD35">
        <v>1.5217E-3</v>
      </c>
      <c r="AE35">
        <v>2.0820000000000001E-3</v>
      </c>
      <c r="AF35">
        <v>3.3122E-3</v>
      </c>
      <c r="AG35">
        <v>5.3682000000000001E-3</v>
      </c>
      <c r="AH35">
        <v>9.3428999999999995E-3</v>
      </c>
      <c r="AI35">
        <v>1.7220099999999999E-2</v>
      </c>
      <c r="AJ35">
        <v>3.3078700000000003E-2</v>
      </c>
      <c r="AK35">
        <v>6.4869300000000005E-2</v>
      </c>
      <c r="AL35">
        <v>0.12834799999999999</v>
      </c>
      <c r="AM35">
        <v>0.25816899999999998</v>
      </c>
      <c r="AN35">
        <v>0.51488199999999995</v>
      </c>
      <c r="AO35">
        <v>1.03399</v>
      </c>
      <c r="AP35">
        <v>2.0663299999999998</v>
      </c>
      <c r="AQ35">
        <v>4.1297600000000001</v>
      </c>
      <c r="AR35">
        <v>1.1100199999999999E-2</v>
      </c>
      <c r="AS35">
        <v>2.3080400000000001E-2</v>
      </c>
      <c r="AT35">
        <v>4.5202100000000002E-2</v>
      </c>
      <c r="AU35">
        <v>8.6420200000000003E-2</v>
      </c>
      <c r="AV35">
        <v>0.17058999999999999</v>
      </c>
      <c r="AW35">
        <v>0.34660600000000003</v>
      </c>
      <c r="AX35">
        <v>0.70037499999999997</v>
      </c>
      <c r="AY35">
        <v>1.3991100000000001</v>
      </c>
      <c r="AZ35">
        <v>2.8521399999999999</v>
      </c>
      <c r="BA35">
        <v>5.7258599999999999</v>
      </c>
      <c r="BB35">
        <v>11.508699999999999</v>
      </c>
    </row>
    <row r="36" spans="1:54" x14ac:dyDescent="0.25">
      <c r="A36">
        <v>2.8381000000000001E-3</v>
      </c>
      <c r="B36">
        <v>1.7185E-3</v>
      </c>
      <c r="C36">
        <v>1.964E-3</v>
      </c>
      <c r="D36">
        <v>2.4951000000000001E-3</v>
      </c>
      <c r="E36">
        <v>3.7041999999999999E-3</v>
      </c>
      <c r="F36">
        <v>5.6813999999999996E-3</v>
      </c>
      <c r="G36">
        <v>9.8487999999999996E-3</v>
      </c>
      <c r="H36">
        <v>1.7061699999999999E-2</v>
      </c>
      <c r="I36">
        <v>3.25692E-2</v>
      </c>
      <c r="J36">
        <v>6.3351500000000005E-2</v>
      </c>
      <c r="K36">
        <v>0.12548699999999999</v>
      </c>
      <c r="L36">
        <v>0.25077700000000003</v>
      </c>
      <c r="M36">
        <v>0.49957800000000002</v>
      </c>
      <c r="N36">
        <v>0.99668400000000001</v>
      </c>
      <c r="O36">
        <v>2.0022099999999998</v>
      </c>
      <c r="P36">
        <v>4.0023</v>
      </c>
      <c r="Q36">
        <v>7.0252999999999999E-3</v>
      </c>
      <c r="R36">
        <v>1.4539699999999999E-2</v>
      </c>
      <c r="S36">
        <v>2.7806399999999998E-2</v>
      </c>
      <c r="T36">
        <v>5.3806899999999998E-2</v>
      </c>
      <c r="U36">
        <v>0.109429</v>
      </c>
      <c r="V36">
        <v>0.21520400000000001</v>
      </c>
      <c r="W36">
        <v>0.45078600000000002</v>
      </c>
      <c r="X36">
        <v>0.90143200000000001</v>
      </c>
      <c r="Y36">
        <v>1.77135</v>
      </c>
      <c r="Z36">
        <v>3.61198</v>
      </c>
      <c r="AA36">
        <v>6.9989299999999997</v>
      </c>
      <c r="AB36">
        <v>1.2888999999999999E-3</v>
      </c>
      <c r="AC36">
        <v>1.4107E-3</v>
      </c>
      <c r="AD36">
        <v>1.5380000000000001E-3</v>
      </c>
      <c r="AE36">
        <v>2.2583999999999998E-3</v>
      </c>
      <c r="AF36">
        <v>3.2599999999999999E-3</v>
      </c>
      <c r="AG36">
        <v>5.4789000000000001E-3</v>
      </c>
      <c r="AH36">
        <v>9.2879999999999994E-3</v>
      </c>
      <c r="AI36">
        <v>1.7248300000000001E-2</v>
      </c>
      <c r="AJ36">
        <v>3.31819E-2</v>
      </c>
      <c r="AK36">
        <v>6.4803799999999995E-2</v>
      </c>
      <c r="AL36">
        <v>0.128245</v>
      </c>
      <c r="AM36">
        <v>0.25803900000000002</v>
      </c>
      <c r="AN36">
        <v>0.51503699999999997</v>
      </c>
      <c r="AO36">
        <v>1.03406</v>
      </c>
      <c r="AP36">
        <v>2.0663800000000001</v>
      </c>
      <c r="AQ36">
        <v>4.1299000000000001</v>
      </c>
      <c r="AR36">
        <v>1.11217E-2</v>
      </c>
      <c r="AS36">
        <v>2.2046900000000001E-2</v>
      </c>
      <c r="AT36">
        <v>4.7693399999999997E-2</v>
      </c>
      <c r="AU36">
        <v>8.8207400000000005E-2</v>
      </c>
      <c r="AV36">
        <v>0.174925</v>
      </c>
      <c r="AW36">
        <v>0.34147</v>
      </c>
      <c r="AX36">
        <v>0.71709100000000003</v>
      </c>
      <c r="AY36">
        <v>1.41137</v>
      </c>
      <c r="AZ36">
        <v>2.8081800000000001</v>
      </c>
      <c r="BA36">
        <v>5.6176899999999996</v>
      </c>
      <c r="BB36">
        <v>11.1995</v>
      </c>
    </row>
    <row r="37" spans="1:54" x14ac:dyDescent="0.25">
      <c r="A37">
        <v>1.7277E-3</v>
      </c>
      <c r="B37">
        <v>1.7518E-3</v>
      </c>
      <c r="C37">
        <v>2.0479000000000001E-3</v>
      </c>
      <c r="D37">
        <v>2.676E-3</v>
      </c>
      <c r="E37">
        <v>3.797E-3</v>
      </c>
      <c r="F37">
        <v>5.9500999999999998E-3</v>
      </c>
      <c r="G37">
        <v>9.5113000000000003E-3</v>
      </c>
      <c r="H37">
        <v>1.7200099999999999E-2</v>
      </c>
      <c r="I37">
        <v>3.2905299999999998E-2</v>
      </c>
      <c r="J37">
        <v>6.3400100000000001E-2</v>
      </c>
      <c r="K37">
        <v>0.12574299999999999</v>
      </c>
      <c r="L37">
        <v>0.25064599999999998</v>
      </c>
      <c r="M37">
        <v>0.49959399999999998</v>
      </c>
      <c r="N37">
        <v>0.99675599999999998</v>
      </c>
      <c r="O37">
        <v>2.0023399999999998</v>
      </c>
      <c r="P37">
        <v>4.0020300000000004</v>
      </c>
      <c r="Q37">
        <v>6.6756999999999997E-3</v>
      </c>
      <c r="R37">
        <v>1.4885199999999999E-2</v>
      </c>
      <c r="S37">
        <v>2.78664E-2</v>
      </c>
      <c r="T37">
        <v>5.5416199999999999E-2</v>
      </c>
      <c r="U37">
        <v>0.106696</v>
      </c>
      <c r="V37">
        <v>0.219499</v>
      </c>
      <c r="W37">
        <v>0.42183999999999999</v>
      </c>
      <c r="X37">
        <v>0.87409499999999996</v>
      </c>
      <c r="Y37">
        <v>1.75258</v>
      </c>
      <c r="Z37">
        <v>3.4803199999999999</v>
      </c>
      <c r="AA37">
        <v>6.8898999999999999</v>
      </c>
      <c r="AB37">
        <v>1.5204999999999999E-3</v>
      </c>
      <c r="AC37">
        <v>1.4211E-3</v>
      </c>
      <c r="AD37">
        <v>1.5734E-3</v>
      </c>
      <c r="AE37">
        <v>2.1124E-3</v>
      </c>
      <c r="AF37">
        <v>3.1821000000000002E-3</v>
      </c>
      <c r="AG37">
        <v>5.3778000000000003E-3</v>
      </c>
      <c r="AH37">
        <v>9.2911000000000001E-3</v>
      </c>
      <c r="AI37">
        <v>1.7257399999999999E-2</v>
      </c>
      <c r="AJ37">
        <v>3.3067899999999997E-2</v>
      </c>
      <c r="AK37">
        <v>6.4940999999999999E-2</v>
      </c>
      <c r="AL37">
        <v>0.12818299999999999</v>
      </c>
      <c r="AM37">
        <v>0.25802199999999997</v>
      </c>
      <c r="AN37">
        <v>0.51509099999999997</v>
      </c>
      <c r="AO37">
        <v>1.0339499999999999</v>
      </c>
      <c r="AP37">
        <v>2.0662600000000002</v>
      </c>
      <c r="AQ37">
        <v>4.13028</v>
      </c>
      <c r="AR37">
        <v>1.1150500000000001E-2</v>
      </c>
      <c r="AS37">
        <v>2.2691900000000001E-2</v>
      </c>
      <c r="AT37">
        <v>4.5974500000000001E-2</v>
      </c>
      <c r="AU37">
        <v>0.100968</v>
      </c>
      <c r="AV37">
        <v>0.174733</v>
      </c>
      <c r="AW37">
        <v>0.34869899999999998</v>
      </c>
      <c r="AX37">
        <v>0.68619699999999995</v>
      </c>
      <c r="AY37">
        <v>1.4341900000000001</v>
      </c>
      <c r="AZ37">
        <v>2.78077</v>
      </c>
      <c r="BA37">
        <v>5.5951399999999998</v>
      </c>
      <c r="BB37">
        <v>11.211600000000001</v>
      </c>
    </row>
    <row r="38" spans="1:54" x14ac:dyDescent="0.25">
      <c r="A38">
        <v>1.7561E-3</v>
      </c>
      <c r="B38">
        <v>1.6432E-3</v>
      </c>
      <c r="C38">
        <v>2.2988000000000001E-3</v>
      </c>
      <c r="D38">
        <v>2.4845000000000002E-3</v>
      </c>
      <c r="E38">
        <v>3.6121E-3</v>
      </c>
      <c r="F38">
        <v>5.6106999999999997E-3</v>
      </c>
      <c r="G38">
        <v>9.6746000000000002E-3</v>
      </c>
      <c r="H38">
        <v>1.7160499999999999E-2</v>
      </c>
      <c r="I38">
        <v>3.28315E-2</v>
      </c>
      <c r="J38">
        <v>6.34184E-2</v>
      </c>
      <c r="K38">
        <v>0.12567800000000001</v>
      </c>
      <c r="L38">
        <v>0.25060700000000002</v>
      </c>
      <c r="M38">
        <v>0.499691</v>
      </c>
      <c r="N38">
        <v>0.99681699999999995</v>
      </c>
      <c r="O38">
        <v>2.0022000000000002</v>
      </c>
      <c r="P38">
        <v>4.0021800000000001</v>
      </c>
      <c r="Q38">
        <v>7.1120999999999997E-3</v>
      </c>
      <c r="R38">
        <v>1.38701E-2</v>
      </c>
      <c r="S38">
        <v>2.7393899999999999E-2</v>
      </c>
      <c r="T38">
        <v>5.51409E-2</v>
      </c>
      <c r="U38">
        <v>0.108677</v>
      </c>
      <c r="V38">
        <v>0.21674599999999999</v>
      </c>
      <c r="W38">
        <v>0.42849599999999999</v>
      </c>
      <c r="X38">
        <v>0.89680899999999997</v>
      </c>
      <c r="Y38">
        <v>1.73428</v>
      </c>
      <c r="Z38">
        <v>3.4380000000000002</v>
      </c>
      <c r="AA38">
        <v>7.1658099999999996</v>
      </c>
      <c r="AB38">
        <v>1.7030999999999999E-3</v>
      </c>
      <c r="AC38">
        <v>1.4548E-3</v>
      </c>
      <c r="AD38">
        <v>1.5418999999999999E-3</v>
      </c>
      <c r="AE38">
        <v>2.1773999999999999E-3</v>
      </c>
      <c r="AF38">
        <v>3.2068999999999999E-3</v>
      </c>
      <c r="AG38">
        <v>5.1469999999999997E-3</v>
      </c>
      <c r="AH38">
        <v>9.3994000000000005E-3</v>
      </c>
      <c r="AI38">
        <v>1.7385899999999999E-2</v>
      </c>
      <c r="AJ38">
        <v>3.3017900000000003E-2</v>
      </c>
      <c r="AK38">
        <v>6.4884499999999998E-2</v>
      </c>
      <c r="AL38">
        <v>0.12819700000000001</v>
      </c>
      <c r="AM38">
        <v>0.25799100000000003</v>
      </c>
      <c r="AN38">
        <v>0.51484600000000003</v>
      </c>
      <c r="AO38">
        <v>1.03417</v>
      </c>
      <c r="AP38">
        <v>2.0658699999999999</v>
      </c>
      <c r="AQ38">
        <v>4.1307700000000001</v>
      </c>
      <c r="AR38">
        <v>1.1080700000000001E-2</v>
      </c>
      <c r="AS38">
        <v>2.4357699999999999E-2</v>
      </c>
      <c r="AT38">
        <v>4.5693299999999999E-2</v>
      </c>
      <c r="AU38">
        <v>8.87743E-2</v>
      </c>
      <c r="AV38">
        <v>0.170594</v>
      </c>
      <c r="AW38">
        <v>0.35546699999999998</v>
      </c>
      <c r="AX38">
        <v>0.71257099999999995</v>
      </c>
      <c r="AY38">
        <v>1.4495899999999999</v>
      </c>
      <c r="AZ38">
        <v>2.8167399999999998</v>
      </c>
      <c r="BA38">
        <v>5.6214300000000001</v>
      </c>
      <c r="BB38">
        <v>11.1556</v>
      </c>
    </row>
    <row r="39" spans="1:54" x14ac:dyDescent="0.25">
      <c r="A39">
        <v>1.7673999999999999E-3</v>
      </c>
      <c r="B39">
        <v>1.6245000000000001E-3</v>
      </c>
      <c r="C39">
        <v>2.1976999999999999E-3</v>
      </c>
      <c r="D39">
        <v>2.6499000000000002E-3</v>
      </c>
      <c r="E39">
        <v>3.6881000000000001E-3</v>
      </c>
      <c r="F39">
        <v>5.5298999999999999E-3</v>
      </c>
      <c r="G39">
        <v>9.6261999999999997E-3</v>
      </c>
      <c r="H39">
        <v>1.7251499999999999E-2</v>
      </c>
      <c r="I39">
        <v>3.2682200000000002E-2</v>
      </c>
      <c r="J39">
        <v>6.3454200000000002E-2</v>
      </c>
      <c r="K39">
        <v>0.125689</v>
      </c>
      <c r="L39">
        <v>0.25048199999999998</v>
      </c>
      <c r="M39">
        <v>0.499529</v>
      </c>
      <c r="N39">
        <v>0.99682400000000004</v>
      </c>
      <c r="O39">
        <v>2.0023499999999999</v>
      </c>
      <c r="P39">
        <v>4.00244</v>
      </c>
      <c r="Q39">
        <v>6.6814999999999999E-3</v>
      </c>
      <c r="R39">
        <v>1.38009E-2</v>
      </c>
      <c r="S39">
        <v>2.7653500000000001E-2</v>
      </c>
      <c r="T39">
        <v>5.4102200000000003E-2</v>
      </c>
      <c r="U39">
        <v>0.113538</v>
      </c>
      <c r="V39">
        <v>0.21401600000000001</v>
      </c>
      <c r="W39">
        <v>0.44081500000000001</v>
      </c>
      <c r="X39">
        <v>0.84460400000000002</v>
      </c>
      <c r="Y39">
        <v>1.7420899999999999</v>
      </c>
      <c r="Z39">
        <v>3.4672499999999999</v>
      </c>
      <c r="AA39">
        <v>6.9520099999999996</v>
      </c>
      <c r="AB39">
        <v>1.4832999999999999E-3</v>
      </c>
      <c r="AC39">
        <v>1.4019E-3</v>
      </c>
      <c r="AD39">
        <v>1.5169999999999999E-3</v>
      </c>
      <c r="AE39">
        <v>2.1465E-3</v>
      </c>
      <c r="AF39">
        <v>3.3086999999999999E-3</v>
      </c>
      <c r="AG39">
        <v>5.3505999999999996E-3</v>
      </c>
      <c r="AH39">
        <v>9.5642999999999995E-3</v>
      </c>
      <c r="AI39">
        <v>1.7113300000000001E-2</v>
      </c>
      <c r="AJ39">
        <v>3.3088399999999997E-2</v>
      </c>
      <c r="AK39">
        <v>6.4780099999999993E-2</v>
      </c>
      <c r="AL39">
        <v>0.12808700000000001</v>
      </c>
      <c r="AM39">
        <v>0.257988</v>
      </c>
      <c r="AN39">
        <v>0.51505599999999996</v>
      </c>
      <c r="AO39">
        <v>1.03389</v>
      </c>
      <c r="AP39">
        <v>2.0659700000000001</v>
      </c>
      <c r="AQ39">
        <v>4.1307299999999998</v>
      </c>
      <c r="AR39">
        <v>1.11704E-2</v>
      </c>
      <c r="AS39">
        <v>2.6480299999999998E-2</v>
      </c>
      <c r="AT39">
        <v>4.4103900000000001E-2</v>
      </c>
      <c r="AU39">
        <v>9.0125999999999998E-2</v>
      </c>
      <c r="AV39">
        <v>0.17208899999999999</v>
      </c>
      <c r="AW39">
        <v>0.34200000000000003</v>
      </c>
      <c r="AX39">
        <v>0.68764800000000004</v>
      </c>
      <c r="AY39">
        <v>1.39212</v>
      </c>
      <c r="AZ39">
        <v>2.8445499999999999</v>
      </c>
      <c r="BA39">
        <v>5.8027499999999996</v>
      </c>
      <c r="BB39">
        <v>11.0992</v>
      </c>
    </row>
    <row r="40" spans="1:54" x14ac:dyDescent="0.25">
      <c r="A40">
        <v>1.6586000000000001E-3</v>
      </c>
      <c r="B40">
        <v>1.6197E-3</v>
      </c>
      <c r="C40">
        <v>2.4393000000000001E-3</v>
      </c>
      <c r="D40">
        <v>2.5233999999999999E-3</v>
      </c>
      <c r="E40">
        <v>3.7185E-3</v>
      </c>
      <c r="F40">
        <v>5.6007000000000001E-3</v>
      </c>
      <c r="G40">
        <v>9.6223000000000003E-3</v>
      </c>
      <c r="H40">
        <v>1.72661E-2</v>
      </c>
      <c r="I40">
        <v>3.27823E-2</v>
      </c>
      <c r="J40">
        <v>6.35352E-2</v>
      </c>
      <c r="K40">
        <v>0.12578800000000001</v>
      </c>
      <c r="L40">
        <v>0.25086599999999998</v>
      </c>
      <c r="M40">
        <v>0.49949700000000002</v>
      </c>
      <c r="N40">
        <v>0.99674799999999997</v>
      </c>
      <c r="O40">
        <v>2.0020899999999999</v>
      </c>
      <c r="P40">
        <v>4.0023799999999996</v>
      </c>
      <c r="Q40">
        <v>6.9829000000000002E-3</v>
      </c>
      <c r="R40">
        <v>1.3747499999999999E-2</v>
      </c>
      <c r="S40">
        <v>2.8653600000000001E-2</v>
      </c>
      <c r="T40">
        <v>5.3490200000000002E-2</v>
      </c>
      <c r="U40">
        <v>0.109624</v>
      </c>
      <c r="V40">
        <v>0.22104499999999999</v>
      </c>
      <c r="W40">
        <v>0.43378499999999998</v>
      </c>
      <c r="X40">
        <v>0.86782899999999996</v>
      </c>
      <c r="Y40">
        <v>1.8189299999999999</v>
      </c>
      <c r="Z40">
        <v>3.59491</v>
      </c>
      <c r="AA40">
        <v>7.0521500000000001</v>
      </c>
      <c r="AB40">
        <v>1.4192E-3</v>
      </c>
      <c r="AC40">
        <v>1.4444E-3</v>
      </c>
      <c r="AD40">
        <v>1.5789000000000001E-3</v>
      </c>
      <c r="AE40">
        <v>2.2594E-3</v>
      </c>
      <c r="AF40">
        <v>3.3817000000000001E-3</v>
      </c>
      <c r="AG40">
        <v>5.3343000000000002E-3</v>
      </c>
      <c r="AH40">
        <v>9.2943999999999995E-3</v>
      </c>
      <c r="AI40">
        <v>1.7419199999999999E-2</v>
      </c>
      <c r="AJ40">
        <v>3.3104399999999999E-2</v>
      </c>
      <c r="AK40">
        <v>6.47316E-2</v>
      </c>
      <c r="AL40">
        <v>0.12820200000000001</v>
      </c>
      <c r="AM40">
        <v>0.25797799999999999</v>
      </c>
      <c r="AN40">
        <v>0.51515900000000003</v>
      </c>
      <c r="AO40">
        <v>1.0339499999999999</v>
      </c>
      <c r="AP40">
        <v>2.0660400000000001</v>
      </c>
      <c r="AQ40">
        <v>4.1303400000000003</v>
      </c>
      <c r="AR40">
        <v>1.0991300000000001E-2</v>
      </c>
      <c r="AS40">
        <v>2.2584300000000002E-2</v>
      </c>
      <c r="AT40">
        <v>4.6823200000000002E-2</v>
      </c>
      <c r="AU40">
        <v>8.9057600000000001E-2</v>
      </c>
      <c r="AV40">
        <v>0.17541699999999999</v>
      </c>
      <c r="AW40">
        <v>0.36644700000000002</v>
      </c>
      <c r="AX40">
        <v>0.73360199999999998</v>
      </c>
      <c r="AY40">
        <v>1.38988</v>
      </c>
      <c r="AZ40">
        <v>2.77989</v>
      </c>
      <c r="BA40">
        <v>5.5739299999999998</v>
      </c>
      <c r="BB40">
        <v>11.202400000000001</v>
      </c>
    </row>
    <row r="41" spans="1:54" x14ac:dyDescent="0.25">
      <c r="A41">
        <v>1.7099999999999999E-3</v>
      </c>
      <c r="B41">
        <v>1.6789000000000001E-3</v>
      </c>
      <c r="C41">
        <v>2.029E-3</v>
      </c>
      <c r="D41">
        <v>2.5347E-3</v>
      </c>
      <c r="E41">
        <v>3.7398000000000002E-3</v>
      </c>
      <c r="F41">
        <v>5.6229000000000001E-3</v>
      </c>
      <c r="G41">
        <v>9.5680999999999995E-3</v>
      </c>
      <c r="H41">
        <v>1.7205000000000002E-2</v>
      </c>
      <c r="I41">
        <v>3.2659899999999999E-2</v>
      </c>
      <c r="J41">
        <v>6.3360700000000006E-2</v>
      </c>
      <c r="K41">
        <v>0.12598000000000001</v>
      </c>
      <c r="L41">
        <v>0.25064700000000001</v>
      </c>
      <c r="M41">
        <v>0.49954700000000002</v>
      </c>
      <c r="N41">
        <v>0.99685000000000001</v>
      </c>
      <c r="O41">
        <v>2.0018799999999999</v>
      </c>
      <c r="P41">
        <v>4.0026799999999998</v>
      </c>
      <c r="Q41">
        <v>6.8174999999999998E-3</v>
      </c>
      <c r="R41">
        <v>1.49737E-2</v>
      </c>
      <c r="S41">
        <v>2.75924E-2</v>
      </c>
      <c r="T41">
        <v>5.5328599999999999E-2</v>
      </c>
      <c r="U41">
        <v>0.110073</v>
      </c>
      <c r="V41">
        <v>0.21524399999999999</v>
      </c>
      <c r="W41">
        <v>0.44468600000000003</v>
      </c>
      <c r="X41">
        <v>0.86172000000000004</v>
      </c>
      <c r="Y41">
        <v>1.7837400000000001</v>
      </c>
      <c r="Z41">
        <v>3.4447399999999999</v>
      </c>
      <c r="AA41">
        <v>6.89635</v>
      </c>
      <c r="AB41">
        <v>1.3854E-3</v>
      </c>
      <c r="AC41">
        <v>1.5089000000000001E-3</v>
      </c>
      <c r="AD41">
        <v>1.5169000000000001E-3</v>
      </c>
      <c r="AE41">
        <v>2.1632999999999999E-3</v>
      </c>
      <c r="AF41">
        <v>3.5696999999999999E-3</v>
      </c>
      <c r="AG41">
        <v>5.4872000000000002E-3</v>
      </c>
      <c r="AH41">
        <v>9.2721999999999995E-3</v>
      </c>
      <c r="AI41">
        <v>1.7331599999999999E-2</v>
      </c>
      <c r="AJ41">
        <v>3.2982900000000002E-2</v>
      </c>
      <c r="AK41">
        <v>6.4799499999999996E-2</v>
      </c>
      <c r="AL41">
        <v>0.12820300000000001</v>
      </c>
      <c r="AM41">
        <v>0.25783699999999998</v>
      </c>
      <c r="AN41">
        <v>0.51491299999999995</v>
      </c>
      <c r="AO41">
        <v>1.0339400000000001</v>
      </c>
      <c r="AP41">
        <v>2.0655299999999999</v>
      </c>
      <c r="AQ41">
        <v>4.13063</v>
      </c>
      <c r="AR41">
        <v>1.1504500000000001E-2</v>
      </c>
      <c r="AS41">
        <v>2.2370999999999999E-2</v>
      </c>
      <c r="AT41">
        <v>4.47199E-2</v>
      </c>
      <c r="AU41">
        <v>8.8288199999999997E-2</v>
      </c>
      <c r="AV41">
        <v>0.17418600000000001</v>
      </c>
      <c r="AW41">
        <v>0.34375699999999998</v>
      </c>
      <c r="AX41">
        <v>0.70354300000000003</v>
      </c>
      <c r="AY41">
        <v>1.4017599999999999</v>
      </c>
      <c r="AZ41">
        <v>2.8436900000000001</v>
      </c>
      <c r="BA41">
        <v>5.7065999999999999</v>
      </c>
      <c r="BB41">
        <v>11.3924</v>
      </c>
    </row>
    <row r="42" spans="1:54" x14ac:dyDescent="0.25">
      <c r="A42">
        <v>1.7815000000000001E-3</v>
      </c>
      <c r="B42">
        <v>1.6146000000000001E-3</v>
      </c>
      <c r="C42">
        <v>1.9658000000000002E-3</v>
      </c>
      <c r="D42">
        <v>2.7461E-3</v>
      </c>
      <c r="E42">
        <v>3.7870999999999998E-3</v>
      </c>
      <c r="F42">
        <v>5.6350000000000003E-3</v>
      </c>
      <c r="G42">
        <v>9.6079000000000008E-3</v>
      </c>
      <c r="H42">
        <v>1.7781399999999999E-2</v>
      </c>
      <c r="I42">
        <v>3.27613E-2</v>
      </c>
      <c r="J42">
        <v>6.3493099999999997E-2</v>
      </c>
      <c r="K42">
        <v>0.125718</v>
      </c>
      <c r="L42">
        <v>0.250689</v>
      </c>
      <c r="M42">
        <v>0.49967899999999998</v>
      </c>
      <c r="N42">
        <v>0.99667799999999995</v>
      </c>
      <c r="O42">
        <v>2.0020799999999999</v>
      </c>
      <c r="P42">
        <v>4.00265</v>
      </c>
      <c r="Q42">
        <v>6.9033999999999996E-3</v>
      </c>
      <c r="R42">
        <v>1.52482E-2</v>
      </c>
      <c r="S42">
        <v>2.76776E-2</v>
      </c>
      <c r="T42">
        <v>5.6628900000000003E-2</v>
      </c>
      <c r="U42">
        <v>0.11003400000000001</v>
      </c>
      <c r="V42">
        <v>0.21066799999999999</v>
      </c>
      <c r="W42">
        <v>0.43920599999999999</v>
      </c>
      <c r="X42">
        <v>0.86475800000000003</v>
      </c>
      <c r="Y42">
        <v>1.7709900000000001</v>
      </c>
      <c r="Z42">
        <v>3.4678800000000001</v>
      </c>
      <c r="AA42">
        <v>6.8983299999999996</v>
      </c>
      <c r="AB42">
        <v>1.5453999999999999E-3</v>
      </c>
      <c r="AC42">
        <v>1.4636E-3</v>
      </c>
      <c r="AD42">
        <v>1.5428E-3</v>
      </c>
      <c r="AE42">
        <v>2.1773999999999999E-3</v>
      </c>
      <c r="AF42">
        <v>3.2661999999999999E-3</v>
      </c>
      <c r="AG42">
        <v>5.4105000000000004E-3</v>
      </c>
      <c r="AH42">
        <v>9.2601999999999997E-3</v>
      </c>
      <c r="AI42">
        <v>1.8073200000000001E-2</v>
      </c>
      <c r="AJ42">
        <v>3.3154099999999999E-2</v>
      </c>
      <c r="AK42">
        <v>6.4773800000000006E-2</v>
      </c>
      <c r="AL42">
        <v>0.12811800000000001</v>
      </c>
      <c r="AM42">
        <v>0.25777299999999997</v>
      </c>
      <c r="AN42">
        <v>0.51502899999999996</v>
      </c>
      <c r="AO42">
        <v>1.0340199999999999</v>
      </c>
      <c r="AP42">
        <v>2.0657899999999998</v>
      </c>
      <c r="AQ42">
        <v>4.1306200000000004</v>
      </c>
      <c r="AR42">
        <v>1.108E-2</v>
      </c>
      <c r="AS42">
        <v>2.3012100000000001E-2</v>
      </c>
      <c r="AT42">
        <v>4.5019499999999997E-2</v>
      </c>
      <c r="AU42">
        <v>8.8245799999999999E-2</v>
      </c>
      <c r="AV42">
        <v>0.174377</v>
      </c>
      <c r="AW42">
        <v>0.33999400000000002</v>
      </c>
      <c r="AX42">
        <v>0.69435899999999995</v>
      </c>
      <c r="AY42">
        <v>1.43896</v>
      </c>
      <c r="AZ42">
        <v>2.8192400000000002</v>
      </c>
      <c r="BA42">
        <v>5.5672300000000003</v>
      </c>
      <c r="BB42">
        <v>11.261100000000001</v>
      </c>
    </row>
    <row r="43" spans="1:54" x14ac:dyDescent="0.25">
      <c r="A43">
        <v>1.9835999999999999E-3</v>
      </c>
      <c r="B43">
        <v>1.6257999999999999E-3</v>
      </c>
      <c r="C43">
        <v>2.0939000000000001E-3</v>
      </c>
      <c r="D43">
        <v>2.9516E-3</v>
      </c>
      <c r="E43">
        <v>3.9992999999999999E-3</v>
      </c>
      <c r="F43">
        <v>5.7023999999999998E-3</v>
      </c>
      <c r="G43">
        <v>9.7441999999999997E-3</v>
      </c>
      <c r="H43">
        <v>1.7140300000000001E-2</v>
      </c>
      <c r="I43">
        <v>3.2943100000000003E-2</v>
      </c>
      <c r="J43">
        <v>6.3473000000000002E-2</v>
      </c>
      <c r="K43">
        <v>0.126002</v>
      </c>
      <c r="L43">
        <v>0.25064900000000001</v>
      </c>
      <c r="M43">
        <v>0.49946200000000002</v>
      </c>
      <c r="N43">
        <v>0.99674399999999996</v>
      </c>
      <c r="O43">
        <v>2.0023</v>
      </c>
      <c r="P43">
        <v>4.0019799999999996</v>
      </c>
      <c r="Q43">
        <v>6.9344000000000003E-3</v>
      </c>
      <c r="R43">
        <v>1.6032100000000001E-2</v>
      </c>
      <c r="S43">
        <v>2.75906E-2</v>
      </c>
      <c r="T43">
        <v>5.3199799999999998E-2</v>
      </c>
      <c r="U43">
        <v>0.1089</v>
      </c>
      <c r="V43">
        <v>0.21609300000000001</v>
      </c>
      <c r="W43">
        <v>0.43872899999999998</v>
      </c>
      <c r="X43">
        <v>0.85788200000000003</v>
      </c>
      <c r="Y43">
        <v>1.83775</v>
      </c>
      <c r="Z43">
        <v>3.5558399999999999</v>
      </c>
      <c r="AA43">
        <v>6.9561900000000003</v>
      </c>
      <c r="AB43">
        <v>1.5476000000000001E-3</v>
      </c>
      <c r="AC43">
        <v>1.3992E-3</v>
      </c>
      <c r="AD43">
        <v>1.5376000000000001E-3</v>
      </c>
      <c r="AE43">
        <v>2.1778000000000001E-3</v>
      </c>
      <c r="AF43">
        <v>3.1242000000000002E-3</v>
      </c>
      <c r="AG43">
        <v>5.3930999999999996E-3</v>
      </c>
      <c r="AH43">
        <v>9.2136000000000006E-3</v>
      </c>
      <c r="AI43">
        <v>1.7339799999999999E-2</v>
      </c>
      <c r="AJ43">
        <v>3.3099099999999999E-2</v>
      </c>
      <c r="AK43">
        <v>6.4837699999999998E-2</v>
      </c>
      <c r="AL43">
        <v>0.12823599999999999</v>
      </c>
      <c r="AM43">
        <v>0.25779999999999997</v>
      </c>
      <c r="AN43">
        <v>0.51497899999999996</v>
      </c>
      <c r="AO43">
        <v>1.0341499999999999</v>
      </c>
      <c r="AP43">
        <v>2.06596</v>
      </c>
      <c r="AQ43">
        <v>4.1306599999999998</v>
      </c>
      <c r="AR43">
        <v>1.0949800000000001E-2</v>
      </c>
      <c r="AS43">
        <v>2.3926699999999999E-2</v>
      </c>
      <c r="AT43">
        <v>4.37981E-2</v>
      </c>
      <c r="AU43">
        <v>9.0287300000000001E-2</v>
      </c>
      <c r="AV43">
        <v>0.17557400000000001</v>
      </c>
      <c r="AW43">
        <v>0.351246</v>
      </c>
      <c r="AX43">
        <v>0.71412600000000004</v>
      </c>
      <c r="AY43">
        <v>1.3811500000000001</v>
      </c>
      <c r="AZ43">
        <v>2.7831700000000001</v>
      </c>
      <c r="BA43">
        <v>5.6078299999999999</v>
      </c>
      <c r="BB43">
        <v>11.2454</v>
      </c>
    </row>
    <row r="44" spans="1:54" x14ac:dyDescent="0.25">
      <c r="A44">
        <v>2.0921999999999998E-3</v>
      </c>
      <c r="B44">
        <v>1.7727000000000001E-3</v>
      </c>
      <c r="C44">
        <v>2.0246999999999999E-3</v>
      </c>
      <c r="D44">
        <v>2.7265000000000002E-3</v>
      </c>
      <c r="E44">
        <v>4.0953999999999999E-3</v>
      </c>
      <c r="F44">
        <v>5.6197E-3</v>
      </c>
      <c r="G44">
        <v>9.5157000000000002E-3</v>
      </c>
      <c r="H44">
        <v>1.72941E-2</v>
      </c>
      <c r="I44">
        <v>3.2900600000000002E-2</v>
      </c>
      <c r="J44">
        <v>6.38132E-2</v>
      </c>
      <c r="K44">
        <v>0.12562000000000001</v>
      </c>
      <c r="L44">
        <v>0.25092999999999999</v>
      </c>
      <c r="M44">
        <v>0.49942999999999999</v>
      </c>
      <c r="N44">
        <v>0.99664299999999995</v>
      </c>
      <c r="O44">
        <v>2.0020500000000001</v>
      </c>
      <c r="P44">
        <v>4.0023099999999996</v>
      </c>
      <c r="Q44">
        <v>6.6398000000000004E-3</v>
      </c>
      <c r="R44">
        <v>1.38493E-2</v>
      </c>
      <c r="S44">
        <v>2.77693E-2</v>
      </c>
      <c r="T44">
        <v>5.4997499999999998E-2</v>
      </c>
      <c r="U44">
        <v>0.108005</v>
      </c>
      <c r="V44">
        <v>0.21437700000000001</v>
      </c>
      <c r="W44">
        <v>0.44203100000000001</v>
      </c>
      <c r="X44">
        <v>0.859236</v>
      </c>
      <c r="Y44">
        <v>1.8129299999999999</v>
      </c>
      <c r="Z44">
        <v>3.4547599999999998</v>
      </c>
      <c r="AA44">
        <v>7.1121400000000001</v>
      </c>
      <c r="AB44">
        <v>1.477E-3</v>
      </c>
      <c r="AC44">
        <v>1.3867E-3</v>
      </c>
      <c r="AD44">
        <v>1.5769E-3</v>
      </c>
      <c r="AE44">
        <v>2.2074E-3</v>
      </c>
      <c r="AF44">
        <v>3.0944000000000002E-3</v>
      </c>
      <c r="AG44">
        <v>5.3074999999999997E-3</v>
      </c>
      <c r="AH44">
        <v>9.2566000000000002E-3</v>
      </c>
      <c r="AI44">
        <v>1.7374199999999999E-2</v>
      </c>
      <c r="AJ44">
        <v>3.3078400000000001E-2</v>
      </c>
      <c r="AK44">
        <v>6.4914399999999997E-2</v>
      </c>
      <c r="AL44">
        <v>0.128192</v>
      </c>
      <c r="AM44">
        <v>0.25800400000000001</v>
      </c>
      <c r="AN44">
        <v>0.51500800000000002</v>
      </c>
      <c r="AO44">
        <v>1.0340100000000001</v>
      </c>
      <c r="AP44">
        <v>2.0657000000000001</v>
      </c>
      <c r="AQ44">
        <v>4.1303099999999997</v>
      </c>
      <c r="AR44">
        <v>1.1239900000000001E-2</v>
      </c>
      <c r="AS44">
        <v>2.3773200000000001E-2</v>
      </c>
      <c r="AT44">
        <v>4.5458999999999999E-2</v>
      </c>
      <c r="AU44">
        <v>9.0720300000000004E-2</v>
      </c>
      <c r="AV44">
        <v>0.17690500000000001</v>
      </c>
      <c r="AW44">
        <v>0.358211</v>
      </c>
      <c r="AX44">
        <v>0.70323500000000005</v>
      </c>
      <c r="AY44">
        <v>1.41248</v>
      </c>
      <c r="AZ44">
        <v>2.8496700000000001</v>
      </c>
      <c r="BA44">
        <v>5.6052499999999998</v>
      </c>
      <c r="BB44">
        <v>11.357699999999999</v>
      </c>
    </row>
    <row r="45" spans="1:54" x14ac:dyDescent="0.25">
      <c r="A45">
        <v>1.9239999999999999E-3</v>
      </c>
      <c r="B45">
        <v>1.7225000000000001E-3</v>
      </c>
      <c r="C45">
        <v>1.9781999999999998E-3</v>
      </c>
      <c r="D45">
        <v>2.6402999999999999E-3</v>
      </c>
      <c r="E45">
        <v>3.8333E-3</v>
      </c>
      <c r="F45">
        <v>5.5887000000000003E-3</v>
      </c>
      <c r="G45">
        <v>9.5787000000000008E-3</v>
      </c>
      <c r="H45">
        <v>1.7510600000000001E-2</v>
      </c>
      <c r="I45">
        <v>3.2790699999999999E-2</v>
      </c>
      <c r="J45">
        <v>6.3656199999999996E-2</v>
      </c>
      <c r="K45">
        <v>0.12554299999999999</v>
      </c>
      <c r="L45">
        <v>0.25054999999999999</v>
      </c>
      <c r="M45">
        <v>0.49939899999999998</v>
      </c>
      <c r="N45">
        <v>0.99665999999999999</v>
      </c>
      <c r="O45">
        <v>2.0020500000000001</v>
      </c>
      <c r="P45">
        <v>4.0026599999999997</v>
      </c>
      <c r="Q45">
        <v>7.2839999999999997E-3</v>
      </c>
      <c r="R45">
        <v>1.4033199999999999E-2</v>
      </c>
      <c r="S45">
        <v>2.7463499999999998E-2</v>
      </c>
      <c r="T45">
        <v>5.4828700000000001E-2</v>
      </c>
      <c r="U45">
        <v>0.109329</v>
      </c>
      <c r="V45">
        <v>0.221967</v>
      </c>
      <c r="W45">
        <v>0.436054</v>
      </c>
      <c r="X45">
        <v>0.86777899999999997</v>
      </c>
      <c r="Y45">
        <v>1.7908200000000001</v>
      </c>
      <c r="Z45">
        <v>3.4511599999999998</v>
      </c>
      <c r="AA45">
        <v>7.1668799999999999</v>
      </c>
      <c r="AB45">
        <v>1.4832999999999999E-3</v>
      </c>
      <c r="AC45">
        <v>1.3959E-3</v>
      </c>
      <c r="AD45">
        <v>1.6417999999999999E-3</v>
      </c>
      <c r="AE45">
        <v>2.2024000000000002E-3</v>
      </c>
      <c r="AF45">
        <v>3.2881E-3</v>
      </c>
      <c r="AG45">
        <v>5.6004999999999996E-3</v>
      </c>
      <c r="AH45">
        <v>9.3553999999999998E-3</v>
      </c>
      <c r="AI45">
        <v>1.7358200000000001E-2</v>
      </c>
      <c r="AJ45">
        <v>3.3050799999999998E-2</v>
      </c>
      <c r="AK45">
        <v>6.4784400000000006E-2</v>
      </c>
      <c r="AL45">
        <v>0.128246</v>
      </c>
      <c r="AM45">
        <v>0.258517</v>
      </c>
      <c r="AN45">
        <v>0.51491900000000002</v>
      </c>
      <c r="AO45">
        <v>1.0343199999999999</v>
      </c>
      <c r="AP45">
        <v>2.0660599999999998</v>
      </c>
      <c r="AQ45">
        <v>4.1300600000000003</v>
      </c>
      <c r="AR45">
        <v>1.1358699999999999E-2</v>
      </c>
      <c r="AS45">
        <v>2.3115900000000002E-2</v>
      </c>
      <c r="AT45">
        <v>4.4200700000000002E-2</v>
      </c>
      <c r="AU45">
        <v>8.8194400000000006E-2</v>
      </c>
      <c r="AV45">
        <v>0.17047699999999999</v>
      </c>
      <c r="AW45">
        <v>0.348414</v>
      </c>
      <c r="AX45">
        <v>0.69187900000000002</v>
      </c>
      <c r="AY45">
        <v>1.4584900000000001</v>
      </c>
      <c r="AZ45">
        <v>2.8008600000000001</v>
      </c>
      <c r="BA45">
        <v>5.7177600000000002</v>
      </c>
      <c r="BB45">
        <v>11.186999999999999</v>
      </c>
    </row>
    <row r="46" spans="1:54" x14ac:dyDescent="0.25">
      <c r="A46">
        <v>1.7520000000000001E-3</v>
      </c>
      <c r="B46">
        <v>1.6364999999999999E-3</v>
      </c>
      <c r="C46">
        <v>1.9495000000000001E-3</v>
      </c>
      <c r="D46">
        <v>2.5002000000000002E-3</v>
      </c>
      <c r="E46">
        <v>3.5293E-3</v>
      </c>
      <c r="F46">
        <v>5.5630000000000002E-3</v>
      </c>
      <c r="G46">
        <v>9.8423E-3</v>
      </c>
      <c r="H46">
        <v>1.7361000000000001E-2</v>
      </c>
      <c r="I46">
        <v>3.3135299999999999E-2</v>
      </c>
      <c r="J46">
        <v>6.3758099999999998E-2</v>
      </c>
      <c r="K46">
        <v>0.12570500000000001</v>
      </c>
      <c r="L46">
        <v>0.25041799999999997</v>
      </c>
      <c r="M46">
        <v>0.49956499999999998</v>
      </c>
      <c r="N46">
        <v>0.99664399999999997</v>
      </c>
      <c r="O46">
        <v>2.00258</v>
      </c>
      <c r="P46">
        <v>4.0019299999999998</v>
      </c>
      <c r="Q46">
        <v>6.6759999999999996E-3</v>
      </c>
      <c r="R46">
        <v>1.3889200000000001E-2</v>
      </c>
      <c r="S46">
        <v>2.7739E-2</v>
      </c>
      <c r="T46">
        <v>5.5887699999999998E-2</v>
      </c>
      <c r="U46">
        <v>0.10913</v>
      </c>
      <c r="V46">
        <v>0.217609</v>
      </c>
      <c r="W46">
        <v>0.43830200000000002</v>
      </c>
      <c r="X46">
        <v>0.90627199999999997</v>
      </c>
      <c r="Y46">
        <v>1.7820199999999999</v>
      </c>
      <c r="Z46">
        <v>3.4749099999999999</v>
      </c>
      <c r="AA46">
        <v>7.0171200000000002</v>
      </c>
      <c r="AB46">
        <v>1.3990000000000001E-3</v>
      </c>
      <c r="AC46">
        <v>1.3952999999999999E-3</v>
      </c>
      <c r="AD46">
        <v>1.6344E-3</v>
      </c>
      <c r="AE46">
        <v>2.1167E-3</v>
      </c>
      <c r="AF46">
        <v>3.1304000000000002E-3</v>
      </c>
      <c r="AG46">
        <v>5.2541999999999997E-3</v>
      </c>
      <c r="AH46">
        <v>9.2411000000000004E-3</v>
      </c>
      <c r="AI46">
        <v>1.7316499999999999E-2</v>
      </c>
      <c r="AJ46">
        <v>3.3103899999999999E-2</v>
      </c>
      <c r="AK46">
        <v>6.4855399999999994E-2</v>
      </c>
      <c r="AL46">
        <v>0.128275</v>
      </c>
      <c r="AM46">
        <v>0.25834499999999999</v>
      </c>
      <c r="AN46">
        <v>0.51511799999999996</v>
      </c>
      <c r="AO46">
        <v>1.0341800000000001</v>
      </c>
      <c r="AP46">
        <v>2.0657999999999999</v>
      </c>
      <c r="AQ46">
        <v>4.1299799999999998</v>
      </c>
      <c r="AR46">
        <v>1.1305600000000001E-2</v>
      </c>
      <c r="AS46">
        <v>2.4332199999999998E-2</v>
      </c>
      <c r="AT46">
        <v>4.4256200000000002E-2</v>
      </c>
      <c r="AU46">
        <v>8.7963700000000006E-2</v>
      </c>
      <c r="AV46">
        <v>0.18584100000000001</v>
      </c>
      <c r="AW46">
        <v>0.35253699999999999</v>
      </c>
      <c r="AX46">
        <v>0.72648699999999999</v>
      </c>
      <c r="AY46">
        <v>1.42665</v>
      </c>
      <c r="AZ46">
        <v>2.7816700000000001</v>
      </c>
      <c r="BA46">
        <v>5.6782500000000002</v>
      </c>
      <c r="BB46">
        <v>11.2096</v>
      </c>
    </row>
    <row r="47" spans="1:54" x14ac:dyDescent="0.25">
      <c r="A47">
        <v>1.6471000000000001E-3</v>
      </c>
      <c r="B47">
        <v>1.6462E-3</v>
      </c>
      <c r="C47">
        <v>1.8852000000000001E-3</v>
      </c>
      <c r="D47">
        <v>2.5038E-3</v>
      </c>
      <c r="E47">
        <v>3.6579E-3</v>
      </c>
      <c r="F47">
        <v>5.8551999999999996E-3</v>
      </c>
      <c r="G47">
        <v>9.5642000000000001E-3</v>
      </c>
      <c r="H47">
        <v>1.7345300000000001E-2</v>
      </c>
      <c r="I47">
        <v>3.3116199999999998E-2</v>
      </c>
      <c r="J47">
        <v>6.3287399999999994E-2</v>
      </c>
      <c r="K47">
        <v>0.125724</v>
      </c>
      <c r="L47">
        <v>0.25081100000000001</v>
      </c>
      <c r="M47">
        <v>0.49956299999999998</v>
      </c>
      <c r="N47">
        <v>0.99669099999999999</v>
      </c>
      <c r="O47">
        <v>2.00204</v>
      </c>
      <c r="P47">
        <v>4.0017899999999997</v>
      </c>
      <c r="Q47">
        <v>8.2547999999999996E-3</v>
      </c>
      <c r="R47">
        <v>1.3824299999999999E-2</v>
      </c>
      <c r="S47">
        <v>2.73417E-2</v>
      </c>
      <c r="T47">
        <v>5.4825400000000003E-2</v>
      </c>
      <c r="U47">
        <v>0.107818</v>
      </c>
      <c r="V47">
        <v>0.22106899999999999</v>
      </c>
      <c r="W47">
        <v>0.44073800000000002</v>
      </c>
      <c r="X47">
        <v>0.86482999999999999</v>
      </c>
      <c r="Y47">
        <v>1.78613</v>
      </c>
      <c r="Z47">
        <v>3.4862199999999999</v>
      </c>
      <c r="AA47">
        <v>6.8781499999999998</v>
      </c>
      <c r="AB47">
        <v>1.4107E-3</v>
      </c>
      <c r="AC47">
        <v>1.3577000000000001E-3</v>
      </c>
      <c r="AD47">
        <v>1.5227000000000001E-3</v>
      </c>
      <c r="AE47">
        <v>2.2122000000000001E-3</v>
      </c>
      <c r="AF47">
        <v>3.1097999999999998E-3</v>
      </c>
      <c r="AG47">
        <v>5.9535999999999999E-3</v>
      </c>
      <c r="AH47">
        <v>9.2473E-3</v>
      </c>
      <c r="AI47">
        <v>1.73876E-2</v>
      </c>
      <c r="AJ47">
        <v>3.3054600000000003E-2</v>
      </c>
      <c r="AK47">
        <v>6.4966399999999994E-2</v>
      </c>
      <c r="AL47">
        <v>0.128355</v>
      </c>
      <c r="AM47">
        <v>0.25826399999999999</v>
      </c>
      <c r="AN47">
        <v>0.51499200000000001</v>
      </c>
      <c r="AO47">
        <v>1.0339799999999999</v>
      </c>
      <c r="AP47">
        <v>2.0662799999999999</v>
      </c>
      <c r="AQ47">
        <v>4.1301699999999997</v>
      </c>
      <c r="AR47">
        <v>1.1520300000000001E-2</v>
      </c>
      <c r="AS47">
        <v>2.2180200000000001E-2</v>
      </c>
      <c r="AT47">
        <v>4.4518500000000003E-2</v>
      </c>
      <c r="AU47">
        <v>8.9485400000000007E-2</v>
      </c>
      <c r="AV47">
        <v>0.17310300000000001</v>
      </c>
      <c r="AW47">
        <v>0.360288</v>
      </c>
      <c r="AX47">
        <v>0.69389500000000004</v>
      </c>
      <c r="AY47">
        <v>1.4185700000000001</v>
      </c>
      <c r="AZ47">
        <v>2.8725200000000002</v>
      </c>
      <c r="BA47">
        <v>5.6021900000000002</v>
      </c>
      <c r="BB47">
        <v>11.323600000000001</v>
      </c>
    </row>
    <row r="48" spans="1:54" x14ac:dyDescent="0.25">
      <c r="A48">
        <v>1.6312E-3</v>
      </c>
      <c r="B48">
        <v>1.66E-3</v>
      </c>
      <c r="C48">
        <v>2.0560999999999999E-3</v>
      </c>
      <c r="D48">
        <v>2.5211000000000001E-3</v>
      </c>
      <c r="E48">
        <v>3.555E-3</v>
      </c>
      <c r="F48">
        <v>5.8741000000000002E-3</v>
      </c>
      <c r="G48">
        <v>9.6907999999999994E-3</v>
      </c>
      <c r="H48">
        <v>1.7184999999999999E-2</v>
      </c>
      <c r="I48">
        <v>3.2695000000000002E-2</v>
      </c>
      <c r="J48">
        <v>6.3553899999999997E-2</v>
      </c>
      <c r="K48">
        <v>0.12565200000000001</v>
      </c>
      <c r="L48">
        <v>0.25066300000000002</v>
      </c>
      <c r="M48">
        <v>0.49958799999999998</v>
      </c>
      <c r="N48">
        <v>1.0000100000000001</v>
      </c>
      <c r="O48">
        <v>2.0020500000000001</v>
      </c>
      <c r="P48">
        <v>4.00197</v>
      </c>
      <c r="Q48">
        <v>7.7663000000000003E-3</v>
      </c>
      <c r="R48">
        <v>1.3771500000000001E-2</v>
      </c>
      <c r="S48">
        <v>2.84739E-2</v>
      </c>
      <c r="T48">
        <v>5.43434E-2</v>
      </c>
      <c r="U48">
        <v>0.106415</v>
      </c>
      <c r="V48">
        <v>0.21762600000000001</v>
      </c>
      <c r="W48">
        <v>0.42641600000000002</v>
      </c>
      <c r="X48">
        <v>0.905339</v>
      </c>
      <c r="Y48">
        <v>1.7923899999999999</v>
      </c>
      <c r="Z48">
        <v>3.5074200000000002</v>
      </c>
      <c r="AA48">
        <v>6.9656000000000002</v>
      </c>
      <c r="AB48">
        <v>1.6080000000000001E-3</v>
      </c>
      <c r="AC48">
        <v>1.5111E-3</v>
      </c>
      <c r="AD48">
        <v>1.5307000000000001E-3</v>
      </c>
      <c r="AE48">
        <v>2.1668999999999998E-3</v>
      </c>
      <c r="AF48">
        <v>3.1096000000000001E-3</v>
      </c>
      <c r="AG48">
        <v>5.6750999999999998E-3</v>
      </c>
      <c r="AH48">
        <v>9.3577999999999995E-3</v>
      </c>
      <c r="AI48">
        <v>1.7288100000000001E-2</v>
      </c>
      <c r="AJ48">
        <v>3.3199600000000003E-2</v>
      </c>
      <c r="AK48">
        <v>6.5067899999999998E-2</v>
      </c>
      <c r="AL48">
        <v>0.12825700000000001</v>
      </c>
      <c r="AM48">
        <v>0.258268</v>
      </c>
      <c r="AN48">
        <v>0.515065</v>
      </c>
      <c r="AO48">
        <v>1.0338000000000001</v>
      </c>
      <c r="AP48">
        <v>2.06609</v>
      </c>
      <c r="AQ48">
        <v>4.1299299999999999</v>
      </c>
      <c r="AR48">
        <v>1.1258000000000001E-2</v>
      </c>
      <c r="AS48">
        <v>2.2092500000000001E-2</v>
      </c>
      <c r="AT48">
        <v>4.4300199999999998E-2</v>
      </c>
      <c r="AU48">
        <v>8.8994199999999996E-2</v>
      </c>
      <c r="AV48">
        <v>0.181309</v>
      </c>
      <c r="AW48">
        <v>0.33965600000000001</v>
      </c>
      <c r="AX48">
        <v>0.69865999999999995</v>
      </c>
      <c r="AY48">
        <v>1.4368399999999999</v>
      </c>
      <c r="AZ48">
        <v>2.8283299999999998</v>
      </c>
      <c r="BA48">
        <v>5.8157899999999998</v>
      </c>
      <c r="BB48">
        <v>11.2446</v>
      </c>
    </row>
    <row r="49" spans="1:54" x14ac:dyDescent="0.25">
      <c r="A49">
        <v>1.789E-3</v>
      </c>
      <c r="B49">
        <v>1.6934000000000001E-3</v>
      </c>
      <c r="C49">
        <v>2.1036000000000002E-3</v>
      </c>
      <c r="D49">
        <v>2.5219000000000001E-3</v>
      </c>
      <c r="E49">
        <v>3.6806999999999999E-3</v>
      </c>
      <c r="F49">
        <v>5.7090999999999999E-3</v>
      </c>
      <c r="G49">
        <v>9.6898999999999996E-3</v>
      </c>
      <c r="H49">
        <v>1.7840499999999999E-2</v>
      </c>
      <c r="I49">
        <v>3.3044700000000003E-2</v>
      </c>
      <c r="J49">
        <v>6.3545699999999997E-2</v>
      </c>
      <c r="K49">
        <v>0.12573899999999999</v>
      </c>
      <c r="L49">
        <v>0.25077899999999997</v>
      </c>
      <c r="M49">
        <v>0.49978899999999998</v>
      </c>
      <c r="N49">
        <v>1.00227</v>
      </c>
      <c r="O49">
        <v>2.0025300000000001</v>
      </c>
      <c r="P49">
        <v>4.0016400000000001</v>
      </c>
      <c r="Q49">
        <v>7.4704000000000003E-3</v>
      </c>
      <c r="R49">
        <v>1.51678E-2</v>
      </c>
      <c r="S49">
        <v>2.7815300000000001E-2</v>
      </c>
      <c r="T49">
        <v>5.49363E-2</v>
      </c>
      <c r="U49">
        <v>0.112099</v>
      </c>
      <c r="V49">
        <v>0.219004</v>
      </c>
      <c r="W49">
        <v>0.45269399999999999</v>
      </c>
      <c r="X49">
        <v>0.89479500000000001</v>
      </c>
      <c r="Y49">
        <v>1.7219100000000001</v>
      </c>
      <c r="Z49">
        <v>3.4480599999999999</v>
      </c>
      <c r="AA49">
        <v>6.9951600000000003</v>
      </c>
      <c r="AB49">
        <v>1.5318E-3</v>
      </c>
      <c r="AC49">
        <v>1.3630000000000001E-3</v>
      </c>
      <c r="AD49">
        <v>1.5077000000000001E-3</v>
      </c>
      <c r="AE49">
        <v>2.2027000000000001E-3</v>
      </c>
      <c r="AF49">
        <v>3.1522E-3</v>
      </c>
      <c r="AG49">
        <v>5.4308000000000004E-3</v>
      </c>
      <c r="AH49">
        <v>9.2580000000000006E-3</v>
      </c>
      <c r="AI49">
        <v>1.73876E-2</v>
      </c>
      <c r="AJ49">
        <v>3.3046199999999998E-2</v>
      </c>
      <c r="AK49">
        <v>6.4898999999999998E-2</v>
      </c>
      <c r="AL49">
        <v>0.12839100000000001</v>
      </c>
      <c r="AM49">
        <v>0.258322</v>
      </c>
      <c r="AN49">
        <v>0.51515500000000003</v>
      </c>
      <c r="AO49">
        <v>1.0340199999999999</v>
      </c>
      <c r="AP49">
        <v>2.0659200000000002</v>
      </c>
      <c r="AQ49">
        <v>4.1299400000000004</v>
      </c>
      <c r="AR49">
        <v>1.11915E-2</v>
      </c>
      <c r="AS49">
        <v>2.25922E-2</v>
      </c>
      <c r="AT49">
        <v>4.4534700000000003E-2</v>
      </c>
      <c r="AU49">
        <v>8.8334599999999999E-2</v>
      </c>
      <c r="AV49">
        <v>0.18937300000000001</v>
      </c>
      <c r="AW49">
        <v>0.349244</v>
      </c>
      <c r="AX49">
        <v>0.70577900000000005</v>
      </c>
      <c r="AY49">
        <v>1.3951899999999999</v>
      </c>
      <c r="AZ49">
        <v>2.8493200000000001</v>
      </c>
      <c r="BA49">
        <v>5.6406499999999999</v>
      </c>
      <c r="BB49">
        <v>11.2888</v>
      </c>
    </row>
    <row r="50" spans="1:54" x14ac:dyDescent="0.25">
      <c r="A50">
        <v>1.7998000000000001E-3</v>
      </c>
      <c r="B50">
        <v>1.6507E-3</v>
      </c>
      <c r="C50">
        <v>2.0652000000000001E-3</v>
      </c>
      <c r="D50">
        <v>2.5937E-3</v>
      </c>
      <c r="E50">
        <v>3.5715E-3</v>
      </c>
      <c r="F50">
        <v>5.5776999999999997E-3</v>
      </c>
      <c r="G50">
        <v>9.5750000000000002E-3</v>
      </c>
      <c r="H50">
        <v>1.75657E-2</v>
      </c>
      <c r="I50">
        <v>3.2825699999999999E-2</v>
      </c>
      <c r="J50">
        <v>6.3513299999999995E-2</v>
      </c>
      <c r="K50">
        <v>0.12573400000000001</v>
      </c>
      <c r="L50">
        <v>0.25053300000000001</v>
      </c>
      <c r="M50">
        <v>0.499552</v>
      </c>
      <c r="N50">
        <v>1.00251</v>
      </c>
      <c r="O50">
        <v>2.0022700000000002</v>
      </c>
      <c r="P50">
        <v>4.0018599999999998</v>
      </c>
      <c r="Q50">
        <v>7.0556000000000004E-3</v>
      </c>
      <c r="R50">
        <v>1.3479100000000001E-2</v>
      </c>
      <c r="S50">
        <v>2.8781899999999999E-2</v>
      </c>
      <c r="T50">
        <v>5.4818199999999997E-2</v>
      </c>
      <c r="U50">
        <v>0.10986600000000001</v>
      </c>
      <c r="V50">
        <v>0.22700000000000001</v>
      </c>
      <c r="W50">
        <v>0.44729200000000002</v>
      </c>
      <c r="X50">
        <v>0.87051299999999998</v>
      </c>
      <c r="Y50">
        <v>1.7483599999999999</v>
      </c>
      <c r="Z50">
        <v>3.4797199999999999</v>
      </c>
      <c r="AA50">
        <v>7.0015900000000002</v>
      </c>
      <c r="AB50">
        <v>1.3730000000000001E-3</v>
      </c>
      <c r="AC50">
        <v>1.7493999999999999E-3</v>
      </c>
      <c r="AD50">
        <v>1.7496E-3</v>
      </c>
      <c r="AE50">
        <v>2.1413000000000001E-3</v>
      </c>
      <c r="AF50">
        <v>3.2615000000000001E-3</v>
      </c>
      <c r="AG50">
        <v>5.2998999999999998E-3</v>
      </c>
      <c r="AH50">
        <v>9.3501000000000001E-3</v>
      </c>
      <c r="AI50">
        <v>1.7321400000000001E-2</v>
      </c>
      <c r="AJ50">
        <v>3.3255899999999998E-2</v>
      </c>
      <c r="AK50">
        <v>6.4871600000000001E-2</v>
      </c>
      <c r="AL50">
        <v>0.12826199999999999</v>
      </c>
      <c r="AM50">
        <v>0.25827099999999997</v>
      </c>
      <c r="AN50">
        <v>0.51506200000000002</v>
      </c>
      <c r="AO50">
        <v>1.03383</v>
      </c>
      <c r="AP50">
        <v>2.06595</v>
      </c>
      <c r="AQ50">
        <v>4.1300800000000004</v>
      </c>
      <c r="AR50">
        <v>1.0929899999999999E-2</v>
      </c>
      <c r="AS50">
        <v>2.20979E-2</v>
      </c>
      <c r="AT50">
        <v>4.3920300000000002E-2</v>
      </c>
      <c r="AU50">
        <v>8.7950299999999995E-2</v>
      </c>
      <c r="AV50">
        <v>0.17754600000000001</v>
      </c>
      <c r="AW50">
        <v>0.37598900000000002</v>
      </c>
      <c r="AX50">
        <v>0.69728999999999997</v>
      </c>
      <c r="AY50">
        <v>1.4397899999999999</v>
      </c>
      <c r="AZ50">
        <v>2.8427600000000002</v>
      </c>
      <c r="BA50">
        <v>5.6615900000000003</v>
      </c>
      <c r="BB50">
        <v>11.5624</v>
      </c>
    </row>
    <row r="51" spans="1:54" x14ac:dyDescent="0.25">
      <c r="A51">
        <v>1.701E-3</v>
      </c>
      <c r="B51">
        <v>1.6551999999999999E-3</v>
      </c>
      <c r="C51">
        <v>2.134E-3</v>
      </c>
      <c r="D51">
        <v>2.6275999999999999E-3</v>
      </c>
      <c r="E51">
        <v>3.5152999999999998E-3</v>
      </c>
      <c r="F51">
        <v>5.7235000000000003E-3</v>
      </c>
      <c r="G51">
        <v>9.8445000000000008E-3</v>
      </c>
      <c r="H51">
        <v>1.7167399999999999E-2</v>
      </c>
      <c r="I51">
        <v>3.2672699999999999E-2</v>
      </c>
      <c r="J51">
        <v>6.3530600000000007E-2</v>
      </c>
      <c r="K51">
        <v>0.12572700000000001</v>
      </c>
      <c r="L51">
        <v>0.25062099999999998</v>
      </c>
      <c r="M51">
        <v>0.49953900000000001</v>
      </c>
      <c r="N51">
        <v>1.0026200000000001</v>
      </c>
      <c r="O51">
        <v>2.0019499999999999</v>
      </c>
      <c r="P51">
        <v>4.0017699999999996</v>
      </c>
      <c r="Q51">
        <v>7.1069000000000002E-3</v>
      </c>
      <c r="R51">
        <v>1.41812E-2</v>
      </c>
      <c r="S51">
        <v>3.0947800000000001E-2</v>
      </c>
      <c r="T51">
        <v>5.6710200000000002E-2</v>
      </c>
      <c r="U51">
        <v>0.110045</v>
      </c>
      <c r="V51">
        <v>0.226211</v>
      </c>
      <c r="W51">
        <v>0.43586000000000003</v>
      </c>
      <c r="X51">
        <v>0.86038099999999995</v>
      </c>
      <c r="Y51">
        <v>1.76132</v>
      </c>
      <c r="Z51">
        <v>3.4695999999999998</v>
      </c>
      <c r="AA51">
        <v>6.9742800000000003</v>
      </c>
      <c r="AB51">
        <v>1.4182999999999999E-3</v>
      </c>
      <c r="AC51">
        <v>1.3855E-3</v>
      </c>
      <c r="AD51">
        <v>1.5855999999999999E-3</v>
      </c>
      <c r="AE51">
        <v>2.1664000000000002E-3</v>
      </c>
      <c r="AF51">
        <v>3.1516000000000001E-3</v>
      </c>
      <c r="AG51">
        <v>5.3004999999999997E-3</v>
      </c>
      <c r="AH51">
        <v>9.3305000000000003E-3</v>
      </c>
      <c r="AI51">
        <v>1.7591300000000001E-2</v>
      </c>
      <c r="AJ51">
        <v>3.3126200000000001E-2</v>
      </c>
      <c r="AK51">
        <v>6.5022200000000002E-2</v>
      </c>
      <c r="AL51">
        <v>0.12831600000000001</v>
      </c>
      <c r="AM51">
        <v>0.25822499999999998</v>
      </c>
      <c r="AN51">
        <v>0.51487899999999998</v>
      </c>
      <c r="AO51">
        <v>1.03389</v>
      </c>
      <c r="AP51">
        <v>2.0659000000000001</v>
      </c>
      <c r="AQ51">
        <v>4.1299400000000004</v>
      </c>
      <c r="AR51">
        <v>1.1234600000000001E-2</v>
      </c>
      <c r="AS51">
        <v>2.24719E-2</v>
      </c>
      <c r="AT51">
        <v>4.4037399999999997E-2</v>
      </c>
      <c r="AU51">
        <v>9.0388700000000002E-2</v>
      </c>
      <c r="AV51">
        <v>0.16978499999999999</v>
      </c>
      <c r="AW51">
        <v>0.35157300000000002</v>
      </c>
      <c r="AX51">
        <v>0.69858399999999998</v>
      </c>
      <c r="AY51">
        <v>1.40296</v>
      </c>
      <c r="AZ51">
        <v>2.83216</v>
      </c>
      <c r="BA51">
        <v>5.6054700000000004</v>
      </c>
      <c r="BB51">
        <v>11.2934</v>
      </c>
    </row>
    <row r="52" spans="1:54" x14ac:dyDescent="0.25">
      <c r="A52">
        <f>AVERAGE(x__9[minMaxPar_50_15.txt])</f>
        <v>1.8741420000000001E-3</v>
      </c>
      <c r="B52">
        <f>AVERAGE(x__9[minMaxPar_50_16.txt])</f>
        <v>1.8475239999999995E-3</v>
      </c>
      <c r="C52">
        <f>AVERAGE(x__9[minMaxPar_50_17.txt])</f>
        <v>2.1146480000000007E-3</v>
      </c>
      <c r="D52">
        <f>AVERAGE(x__9[minMaxPar_50_18.txt])</f>
        <v>2.6355000000000007E-3</v>
      </c>
      <c r="E52">
        <f>AVERAGE(x__9[minMaxPar_50_19.txt])</f>
        <v>3.7016160000000009E-3</v>
      </c>
      <c r="F52">
        <f>AVERAGE(x__9[minMaxPar_50_20.txt])</f>
        <v>5.684083999999999E-3</v>
      </c>
      <c r="G52">
        <f>AVERAGE(x__9[minMaxPar_50_21.txt])</f>
        <v>9.6556380000000011E-3</v>
      </c>
      <c r="H52">
        <f>AVERAGE(x__9[minMaxPar_50_22.txt])</f>
        <v>1.7320970000000002E-2</v>
      </c>
      <c r="I52">
        <f>AVERAGE(x__9[minMaxPar_50_23.txt])</f>
        <v>3.2803008000000002E-2</v>
      </c>
      <c r="J52">
        <f>AVERAGE(x__9[minMaxPar_50_24.txt])</f>
        <v>6.3494821999999992E-2</v>
      </c>
      <c r="K52">
        <f>AVERAGE(x__9[minMaxPar_50_25.txt])</f>
        <v>0.12568108</v>
      </c>
      <c r="L52">
        <f>AVERAGE(x__9[minMaxPar_50_26.txt])</f>
        <v>0.24994232000000005</v>
      </c>
      <c r="M52">
        <f>AVERAGE(x__9[minMaxPar_50_27.txt])</f>
        <v>0.49960715999999988</v>
      </c>
      <c r="N52">
        <f>AVERAGE(x__9[minMaxPar_50_28.txt])</f>
        <v>0.99723408000000002</v>
      </c>
      <c r="O52">
        <f>AVERAGE(x__9[minMaxPar_50_29.txt])</f>
        <v>2.0022243999999998</v>
      </c>
      <c r="P52">
        <f>AVERAGE(x__9[minMaxPar_50_30.txt])</f>
        <v>4.0020401999999988</v>
      </c>
      <c r="Q52">
        <f>AVERAGE(x__9[minMaxSeq_50_15.txt])</f>
        <v>6.9972440000000014E-3</v>
      </c>
      <c r="R52">
        <f>AVERAGE(x__9[minMaxSeq_50_16.txt])</f>
        <v>1.4218786000000004E-2</v>
      </c>
      <c r="S52">
        <f>AVERAGE(x__9[minMaxSeq_50_17.txt])</f>
        <v>2.794737000000001E-2</v>
      </c>
      <c r="T52">
        <f>AVERAGE(x__9[minMaxSeq_50_18.txt])</f>
        <v>5.5393451999999996E-2</v>
      </c>
      <c r="U52">
        <f>AVERAGE(x__9[minMaxSeq_50_19.txt])</f>
        <v>0.10976636000000005</v>
      </c>
      <c r="V52">
        <f>AVERAGE(x__9[minMaxSeq_50_20.txt])</f>
        <v>0.21867504000000001</v>
      </c>
      <c r="W52">
        <f>AVERAGE(x__9[minMaxSeq_50_21.txt])</f>
        <v>0.43768526000000002</v>
      </c>
      <c r="X52">
        <f>AVERAGE(x__9[minMaxSeq_50_22.txt])</f>
        <v>0.87515435999999991</v>
      </c>
      <c r="Y52">
        <f>AVERAGE(x__9[minMaxSeq_50_23.txt])</f>
        <v>1.7651883999999998</v>
      </c>
      <c r="Z52">
        <f>AVERAGE(x__9[minMaxSeq_50_24.txt])</f>
        <v>3.4896515999999984</v>
      </c>
      <c r="AA52">
        <f>AVERAGE(x__9[minMaxSeq_50_25.txt])</f>
        <v>6.985761199999998</v>
      </c>
      <c r="AB52">
        <f>AVERAGE(x__9[montePar_50_15.txt])</f>
        <v>1.520668E-3</v>
      </c>
      <c r="AC52">
        <f>AVERAGE(x__9[montePar_50_16.txt])</f>
        <v>1.43589E-3</v>
      </c>
      <c r="AD52">
        <f>AVERAGE(x__9[montePar_50_17.txt])</f>
        <v>1.5952340000000001E-3</v>
      </c>
      <c r="AE52">
        <f>AVERAGE(x__9[montePar_50_18.txt])</f>
        <v>2.1851879999999994E-3</v>
      </c>
      <c r="AF52">
        <f>AVERAGE(x__9[montePar_50_19.txt])</f>
        <v>3.2472679999999998E-3</v>
      </c>
      <c r="AG52">
        <f>AVERAGE(x__9[montePar_50_20.txt])</f>
        <v>5.3157100000000004E-3</v>
      </c>
      <c r="AH52">
        <f>AVERAGE(x__9[montePar_50_21.txt])</f>
        <v>9.3181060000000013E-3</v>
      </c>
      <c r="AI52">
        <f>AVERAGE(x__9[montePar_50_22.txt])</f>
        <v>1.7293155999999994E-2</v>
      </c>
      <c r="AJ52">
        <f>AVERAGE(x__9[montePar_50_23.txt])</f>
        <v>3.3156656E-2</v>
      </c>
      <c r="AK52">
        <f>AVERAGE(x__9[montePar_50_24.txt])</f>
        <v>6.4876708000000005E-2</v>
      </c>
      <c r="AL52">
        <f>AVERAGE(x__9[montePar_50_25.txt])</f>
        <v>0.12824015999999999</v>
      </c>
      <c r="AM52">
        <f>AVERAGE(x__9[montePar_50_26.txt])</f>
        <v>0.25806209999999996</v>
      </c>
      <c r="AN52">
        <f>AVERAGE(x__9[montePar_50_27.txt])</f>
        <v>0.51500042000000013</v>
      </c>
      <c r="AO52">
        <f>AVERAGE(x__9[montePar_50_28.txt])</f>
        <v>1.0340558</v>
      </c>
      <c r="AP52">
        <f>AVERAGE(x__9[montePar_50_29.txt])</f>
        <v>2.0659780000000003</v>
      </c>
      <c r="AQ52">
        <f>AVERAGE(x__9[montePar_50_30.txt])</f>
        <v>4.1297639999999989</v>
      </c>
      <c r="AR52">
        <f>AVERAGE(x__9[monteSeq_50_15.txt])</f>
        <v>1.1112542000000001E-2</v>
      </c>
      <c r="AS52">
        <f>AVERAGE(x__9[monteSeq_50_16.txt])</f>
        <v>2.2924622000000002E-2</v>
      </c>
      <c r="AT52">
        <f>AVERAGE(x__9[monteSeq_50_17.txt])</f>
        <v>4.5119554000000006E-2</v>
      </c>
      <c r="AU52">
        <f>AVERAGE(x__9[monteSeq_50_18.txt])</f>
        <v>8.925664400000001E-2</v>
      </c>
      <c r="AV52">
        <f>AVERAGE(x__9[monteSeq_50_19.txt])</f>
        <v>0.17714909999999995</v>
      </c>
      <c r="AW52">
        <f>AVERAGE(x__9[monteSeq_50_20.txt])</f>
        <v>0.35168701999999996</v>
      </c>
      <c r="AX52">
        <f>AVERAGE(x__9[monteSeq_50_21.txt])</f>
        <v>0.70468251999999998</v>
      </c>
      <c r="AY52">
        <f>AVERAGE(x__9[monteSeq_50_22.txt])</f>
        <v>1.4172894000000003</v>
      </c>
      <c r="AZ52">
        <f>AVERAGE(x__9[monteSeq_50_23.txt])</f>
        <v>2.8274816</v>
      </c>
      <c r="BA52">
        <f>AVERAGE(x__9[monteSeq_50_24.txt])</f>
        <v>5.6388499999999997</v>
      </c>
      <c r="BB52">
        <f>AVERAGE(x__9[monteSeq_50_25.txt])</f>
        <v>11.295936000000001</v>
      </c>
    </row>
    <row r="53" spans="1:54" x14ac:dyDescent="0.25">
      <c r="A53">
        <f>_xlfn.STDEV.S(x__9[minMaxPar_50_15.txt])</f>
        <v>2.070865618971143E-4</v>
      </c>
      <c r="B53">
        <f>_xlfn.STDEV.S(x__9[minMaxPar_50_16.txt])</f>
        <v>3.0098779049072703E-4</v>
      </c>
      <c r="C53">
        <f>_xlfn.STDEV.S(x__9[minMaxPar_50_17.txt])</f>
        <v>1.6690899297130119E-4</v>
      </c>
      <c r="D53">
        <f>_xlfn.STDEV.S(x__9[minMaxPar_50_18.txt])</f>
        <v>1.746647669575251E-4</v>
      </c>
      <c r="E53">
        <f>_xlfn.STDEV.S(x__9[minMaxPar_50_19.txt])</f>
        <v>1.3460139393401386E-4</v>
      </c>
      <c r="F53">
        <f>_xlfn.STDEV.S(x__9[minMaxPar_50_20.txt])</f>
        <v>1.465693029085628E-4</v>
      </c>
      <c r="G53">
        <f>_xlfn.STDEV.S(x__9[minMaxPar_50_21.txt])</f>
        <v>1.314149028451337E-4</v>
      </c>
      <c r="H53">
        <f>_xlfn.STDEV.S(x__9[minMaxPar_50_22.txt])</f>
        <v>1.7213469482723492E-4</v>
      </c>
      <c r="I53">
        <f>_xlfn.STDEV.S(x__9[minMaxPar_50_23.txt])</f>
        <v>1.5826206739301212E-4</v>
      </c>
      <c r="J53">
        <f>_xlfn.STDEV.S(x__9[minMaxPar_50_24.txt])</f>
        <v>1.293680705173716E-4</v>
      </c>
      <c r="K53">
        <f>_xlfn.STDEV.S(x__9[minMaxPar_50_25.txt])</f>
        <v>1.6386640153192154E-4</v>
      </c>
      <c r="L53">
        <f>_xlfn.STDEV.S(x__9[minMaxPar_50_26.txt])</f>
        <v>7.4787539723935182E-4</v>
      </c>
      <c r="M53">
        <f>_xlfn.STDEV.S(x__9[minMaxPar_50_27.txt])</f>
        <v>1.2264838742835128E-4</v>
      </c>
      <c r="N53">
        <f>_xlfn.STDEV.S(x__9[minMaxPar_50_28.txt])</f>
        <v>1.4130661962916194E-3</v>
      </c>
      <c r="O53">
        <f>_xlfn.STDEV.S(x__9[minMaxPar_50_29.txt])</f>
        <v>2.052490771561851E-4</v>
      </c>
      <c r="P53">
        <f>_xlfn.STDEV.S(x__9[minMaxPar_50_30.txt])</f>
        <v>2.8470170569296885E-4</v>
      </c>
      <c r="Q53">
        <f>_xlfn.STDEV.S(x__9[minMaxSeq_50_15.txt])</f>
        <v>3.2875980138101084E-4</v>
      </c>
      <c r="R53">
        <f>_xlfn.STDEV.S(x__9[minMaxSeq_50_16.txt])</f>
        <v>7.0943869390684144E-4</v>
      </c>
      <c r="S53">
        <f>_xlfn.STDEV.S(x__9[minMaxSeq_50_17.txt])</f>
        <v>8.7622184807320156E-4</v>
      </c>
      <c r="T53">
        <f>_xlfn.STDEV.S(x__9[minMaxSeq_50_18.txt])</f>
        <v>1.3783817098529502E-3</v>
      </c>
      <c r="U53">
        <f>_xlfn.STDEV.S(x__9[minMaxSeq_50_19.txt])</f>
        <v>2.4964101471627504E-3</v>
      </c>
      <c r="V53">
        <f>_xlfn.STDEV.S(x__9[minMaxSeq_50_20.txt])</f>
        <v>5.8106015809949695E-3</v>
      </c>
      <c r="W53">
        <f>_xlfn.STDEV.S(x__9[minMaxSeq_50_21.txt])</f>
        <v>9.8216938973200059E-3</v>
      </c>
      <c r="X53">
        <f>_xlfn.STDEV.S(x__9[minMaxSeq_50_22.txt])</f>
        <v>2.09800963507836E-2</v>
      </c>
      <c r="Y53">
        <f>_xlfn.STDEV.S(x__9[minMaxSeq_50_23.txt])</f>
        <v>3.2593699050520772E-2</v>
      </c>
      <c r="Z53">
        <f>_xlfn.STDEV.S(x__9[minMaxSeq_50_24.txt])</f>
        <v>4.8987249001497236E-2</v>
      </c>
      <c r="AA53">
        <f>_xlfn.STDEV.S(x__9[minMaxSeq_50_25.txt])</f>
        <v>8.4015789372217028E-2</v>
      </c>
      <c r="AB53">
        <f>_xlfn.STDEV.S(x__9[montePar_50_15.txt])</f>
        <v>7.2424573612969278E-4</v>
      </c>
      <c r="AC53">
        <f>_xlfn.STDEV.S(x__9[montePar_50_16.txt])</f>
        <v>7.8747100367737542E-5</v>
      </c>
      <c r="AD53">
        <f>_xlfn.STDEV.S(x__9[montePar_50_17.txt])</f>
        <v>8.960489374846371E-5</v>
      </c>
      <c r="AE53">
        <f>_xlfn.STDEV.S(x__9[montePar_50_18.txt])</f>
        <v>7.338546717052861E-5</v>
      </c>
      <c r="AF53">
        <f>_xlfn.STDEV.S(x__9[montePar_50_19.txt])</f>
        <v>1.0440914503695033E-4</v>
      </c>
      <c r="AG53">
        <f>_xlfn.STDEV.S(x__9[montePar_50_20.txt])</f>
        <v>1.42766816086618E-4</v>
      </c>
      <c r="AH53">
        <f>_xlfn.STDEV.S(x__9[montePar_50_21.txt])</f>
        <v>1.2024499719747344E-4</v>
      </c>
      <c r="AI53">
        <f>_xlfn.STDEV.S(x__9[montePar_50_22.txt])</f>
        <v>1.4611089464750354E-4</v>
      </c>
      <c r="AJ53">
        <f>_xlfn.STDEV.S(x__9[montePar_50_23.txt])</f>
        <v>1.0672771604146971E-4</v>
      </c>
      <c r="AK53">
        <f>_xlfn.STDEV.S(x__9[montePar_50_24.txt])</f>
        <v>9.4082236801814375E-5</v>
      </c>
      <c r="AL53">
        <f>_xlfn.STDEV.S(x__9[montePar_50_25.txt])</f>
        <v>9.2974071434910309E-5</v>
      </c>
      <c r="AM53">
        <f>_xlfn.STDEV.S(x__9[montePar_50_26.txt])</f>
        <v>1.5178734452906022E-4</v>
      </c>
      <c r="AN53">
        <f>_xlfn.STDEV.S(x__9[montePar_50_27.txt])</f>
        <v>9.0864799767214615E-5</v>
      </c>
      <c r="AO53">
        <f>_xlfn.STDEV.S(x__9[montePar_50_28.txt])</f>
        <v>1.2689526454231126E-4</v>
      </c>
      <c r="AP53">
        <f>_xlfn.STDEV.S(x__9[montePar_50_29.txt])</f>
        <v>1.6977776590568192E-4</v>
      </c>
      <c r="AQ53">
        <f>_xlfn.STDEV.S(x__9[montePar_50_30.txt])</f>
        <v>4.5891620327967789E-4</v>
      </c>
      <c r="AR53">
        <f>_xlfn.STDEV.S(x__9[monteSeq_50_15.txt])</f>
        <v>1.9617395039159759E-4</v>
      </c>
      <c r="AS53">
        <f>_xlfn.STDEV.S(x__9[monteSeq_50_16.txt])</f>
        <v>1.0744673439335379E-3</v>
      </c>
      <c r="AT53">
        <f>_xlfn.STDEV.S(x__9[monteSeq_50_17.txt])</f>
        <v>1.2482041938214556E-3</v>
      </c>
      <c r="AU53">
        <f>_xlfn.STDEV.S(x__9[monteSeq_50_18.txt])</f>
        <v>2.4786610599816564E-3</v>
      </c>
      <c r="AV53">
        <f>_xlfn.STDEV.S(x__9[monteSeq_50_19.txt])</f>
        <v>4.8697206442527311E-3</v>
      </c>
      <c r="AW53">
        <f>_xlfn.STDEV.S(x__9[monteSeq_50_20.txt])</f>
        <v>6.9250335370587036E-3</v>
      </c>
      <c r="AX53">
        <f>_xlfn.STDEV.S(x__9[monteSeq_50_21.txt])</f>
        <v>1.535027153816863E-2</v>
      </c>
      <c r="AY53">
        <f>_xlfn.STDEV.S(x__9[monteSeq_50_22.txt])</f>
        <v>2.6359946843494127E-2</v>
      </c>
      <c r="AZ53">
        <f>_xlfn.STDEV.S(x__9[monteSeq_50_23.txt])</f>
        <v>3.7796071999775908E-2</v>
      </c>
      <c r="BA53">
        <f>_xlfn.STDEV.S(x__9[monteSeq_50_24.txt])</f>
        <v>6.3894582792315621E-2</v>
      </c>
      <c r="BB53">
        <f>_xlfn.STDEV.S(x__9[monteSeq_50_25.txt])</f>
        <v>0.11821556884931583</v>
      </c>
    </row>
    <row r="54" spans="1:54" x14ac:dyDescent="0.25">
      <c r="A54" s="1">
        <f>A53/x__9[[#Totals],[minMaxPar_50_15.txt]]</f>
        <v>0.11049672964861483</v>
      </c>
      <c r="B54" s="1">
        <f>B53/x__9[[#Totals],[minMaxPar_50_16.txt]]</f>
        <v>0.16291414373546817</v>
      </c>
      <c r="C54" s="1">
        <f>C53/x__9[[#Totals],[minMaxPar_50_17.txt]]</f>
        <v>7.8929917873471686E-2</v>
      </c>
      <c r="D54" s="1">
        <f>D53/x__9[[#Totals],[minMaxPar_50_18.txt]]</f>
        <v>6.6273863387412271E-2</v>
      </c>
      <c r="E54" s="1">
        <f>E53/x__9[[#Totals],[minMaxPar_50_19.txt]]</f>
        <v>3.6362873386654324E-2</v>
      </c>
      <c r="F54" s="1">
        <f>F53/x__9[[#Totals],[minMaxPar_50_20.txt]]</f>
        <v>2.5785914301858105E-2</v>
      </c>
      <c r="G54" s="1">
        <f>G53/x__9[[#Totals],[minMaxPar_50_21.txt]]</f>
        <v>1.361017292126462E-2</v>
      </c>
      <c r="H54" s="1">
        <f>H53/x__9[[#Totals],[minMaxPar_50_22.txt]]</f>
        <v>9.937936202604988E-3</v>
      </c>
      <c r="I54" s="1">
        <f>I53/x__9[[#Totals],[minMaxPar_50_23.txt]]</f>
        <v>4.8246205772657222E-3</v>
      </c>
      <c r="J54" s="1">
        <f>J53/x__9[[#Totals],[minMaxPar_50_24.txt]]</f>
        <v>2.0374585902039636E-3</v>
      </c>
      <c r="K54" s="1">
        <f>K53/x__9[[#Totals],[minMaxPar_50_25.txt]]</f>
        <v>1.3038271276147654E-3</v>
      </c>
      <c r="L54" s="1">
        <f>L53/x__9[[#Totals],[minMaxPar_50_26.txt]]</f>
        <v>2.9921919474835299E-3</v>
      </c>
      <c r="M54" s="1">
        <f>M53/x__9[[#Totals],[minMaxPar_50_27.txt]]</f>
        <v>2.4548965116583056E-4</v>
      </c>
      <c r="N54" s="1">
        <f>N53/x__9[[#Totals],[minMaxPar_50_28.txt]]</f>
        <v>1.4169854647282205E-3</v>
      </c>
      <c r="O54" s="1">
        <f>O53/x__9[[#Totals],[minMaxPar_50_29.txt]]</f>
        <v>1.0251052637066311E-4</v>
      </c>
      <c r="P54" s="1">
        <f>P53/x__9[[#Totals],[minMaxPar_50_30.txt]]</f>
        <v>7.1139141903914141E-5</v>
      </c>
      <c r="Q54" s="1">
        <f>Q53/x__9[[#Totals],[minMaxSeq_50_15.txt]]</f>
        <v>4.6984184256117237E-2</v>
      </c>
      <c r="R54" s="1">
        <f>R53/x__9[[#Totals],[minMaxSeq_50_16.txt]]</f>
        <v>4.9894463135378875E-2</v>
      </c>
      <c r="S54" s="1">
        <f>S53/x__9[[#Totals],[minMaxSeq_50_17.txt]]</f>
        <v>3.1352569063679385E-2</v>
      </c>
      <c r="T54" s="1">
        <f>T53/x__9[[#Totals],[minMaxSeq_50_18.txt]]</f>
        <v>2.4883477380195591E-2</v>
      </c>
      <c r="U54" s="1">
        <f>U53/x__9[[#Totals],[minMaxSeq_50_19.txt]]</f>
        <v>2.2742943713927922E-2</v>
      </c>
      <c r="V54" s="1">
        <f>V53/x__9[[#Totals],[minMaxSeq_50_20.txt]]</f>
        <v>2.65718555761781E-2</v>
      </c>
      <c r="W54" s="1">
        <f>W53/x__9[[#Totals],[minMaxSeq_50_21.txt]]</f>
        <v>2.2440083765489397E-2</v>
      </c>
      <c r="X54" s="1">
        <f>X53/x__9[[#Totals],[minMaxSeq_50_22.txt]]</f>
        <v>2.3973023856938339E-2</v>
      </c>
      <c r="Y54" s="1">
        <f>Y53/x__9[[#Totals],[minMaxSeq_50_23.txt]]</f>
        <v>1.8464714050081439E-2</v>
      </c>
      <c r="Z54" s="1">
        <f>Z53/x__9[[#Totals],[minMaxSeq_50_24.txt]]</f>
        <v>1.4037862404802032E-2</v>
      </c>
      <c r="AA54" s="1">
        <f>AA53/x__9[[#Totals],[minMaxSeq_50_25.txt]]</f>
        <v>1.202671934623489E-2</v>
      </c>
      <c r="AB54" s="1">
        <f>AB53/x__9[[#Totals],[montePar_50_15.txt]]</f>
        <v>0.4762681506612178</v>
      </c>
      <c r="AC54" s="1">
        <f>AC53/x__9[[#Totals],[montePar_50_16.txt]]</f>
        <v>5.4842014616535768E-2</v>
      </c>
      <c r="AD54" s="1">
        <f>AD53/x__9[[#Totals],[montePar_50_17.txt]]</f>
        <v>5.6170376100599474E-2</v>
      </c>
      <c r="AE54" s="1">
        <f>AE53/x__9[[#Totals],[montePar_50_18.txt]]</f>
        <v>3.3583136631964224E-2</v>
      </c>
      <c r="AF54" s="1">
        <f>AF53/x__9[[#Totals],[montePar_50_19.txt]]</f>
        <v>3.2152919018987758E-2</v>
      </c>
      <c r="AG54" s="1">
        <f>AG53/x__9[[#Totals],[montePar_50_20.txt]]</f>
        <v>2.6857525351574481E-2</v>
      </c>
      <c r="AH54" s="1">
        <f>AH53/x__9[[#Totals],[montePar_50_21.txt]]</f>
        <v>1.290444616078347E-2</v>
      </c>
      <c r="AI54" s="1">
        <f>AI53/x__9[[#Totals],[montePar_50_22.txt]]</f>
        <v>8.4490589599436668E-3</v>
      </c>
      <c r="AJ54" s="1">
        <f>AJ53/x__9[[#Totals],[montePar_50_23.txt]]</f>
        <v>3.2188926422938944E-3</v>
      </c>
      <c r="AK54" s="1">
        <f>AK53/x__9[[#Totals],[montePar_50_24.txt]]</f>
        <v>1.4501697096254386E-3</v>
      </c>
      <c r="AL54" s="1">
        <f>AL53/x__9[[#Totals],[montePar_50_25.txt]]</f>
        <v>7.2499965248725763E-4</v>
      </c>
      <c r="AM54" s="1">
        <f>AM53/x__9[[#Totals],[montePar_50_26.txt]]</f>
        <v>5.8818146689909232E-4</v>
      </c>
      <c r="AN54" s="1">
        <f>AN53/x__9[[#Totals],[montePar_50_27.txt]]</f>
        <v>1.7643636051251101E-4</v>
      </c>
      <c r="AO54" s="1">
        <f>AO53/x__9[[#Totals],[montePar_50_28.txt]]</f>
        <v>1.2271607058566013E-4</v>
      </c>
      <c r="AP54" s="1">
        <f>AP53/x__9[[#Totals],[montePar_50_29.txt]]</f>
        <v>8.2177915692075086E-5</v>
      </c>
      <c r="AQ54" s="1">
        <f>AQ53/x__9[[#Totals],[montePar_50_30.txt]]</f>
        <v>1.1112407471218162E-4</v>
      </c>
      <c r="AR54" s="1">
        <f>AR53/x__9[[#Totals],[monteSeq_50_15.txt]]</f>
        <v>1.7653382132692734E-2</v>
      </c>
      <c r="AS54" s="1">
        <f>AS53/x__9[[#Totals],[monteSeq_50_16.txt]]</f>
        <v>4.6869577344984696E-2</v>
      </c>
      <c r="AT54" s="1">
        <f>AT53/x__9[[#Totals],[monteSeq_50_17.txt]]</f>
        <v>2.7664373495834099E-2</v>
      </c>
      <c r="AU54" s="1">
        <f>AU53/x__9[[#Totals],[monteSeq_50_18.txt]]</f>
        <v>2.7770045443134252E-2</v>
      </c>
      <c r="AV54" s="1">
        <f>AV53/x__9[[#Totals],[monteSeq_50_19.txt]]</f>
        <v>2.7489389696322097E-2</v>
      </c>
      <c r="AW54" s="1">
        <f>AW53/x__9[[#Totals],[monteSeq_50_20.txt]]</f>
        <v>1.9690898848239279E-2</v>
      </c>
      <c r="AX54" s="1">
        <f>AX53/x__9[[#Totals],[monteSeq_50_21.txt]]</f>
        <v>2.1783244372470926E-2</v>
      </c>
      <c r="AY54" s="1">
        <f>AY53/x__9[[#Totals],[monteSeq_50_22.txt]]</f>
        <v>1.8598845686346149E-2</v>
      </c>
      <c r="AZ54" s="1">
        <f>AZ53/x__9[[#Totals],[monteSeq_50_23.txt]]</f>
        <v>1.3367398040636554E-2</v>
      </c>
      <c r="BA54" s="1">
        <f>BA53/x__9[[#Totals],[monteSeq_50_24.txt]]</f>
        <v>1.1331137163130004E-2</v>
      </c>
      <c r="BB54" s="1">
        <f>BB53/x__9[[#Totals],[monteSeq_50_25.txt]]</f>
        <v>1.0465318575575836E-2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749E8-9490-4C76-8260-44B61E14B93D}">
  <dimension ref="A1:BB54"/>
  <sheetViews>
    <sheetView topLeftCell="A40" workbookViewId="0">
      <selection activeCell="P52" sqref="A52:P54"/>
    </sheetView>
  </sheetViews>
  <sheetFormatPr defaultRowHeight="15" x14ac:dyDescent="0.25"/>
  <cols>
    <col min="1" max="16" width="22.7109375" bestFit="1" customWidth="1"/>
    <col min="17" max="27" width="23.140625" bestFit="1" customWidth="1"/>
    <col min="28" max="43" width="21.28515625" bestFit="1" customWidth="1"/>
    <col min="44" max="54" width="21.7109375" bestFit="1" customWidth="1"/>
  </cols>
  <sheetData>
    <row r="1" spans="1:5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  <c r="X1" t="s">
        <v>39</v>
      </c>
      <c r="Y1" t="s">
        <v>40</v>
      </c>
      <c r="Z1" t="s">
        <v>41</v>
      </c>
      <c r="AA1" t="s">
        <v>42</v>
      </c>
      <c r="AB1" t="s">
        <v>16</v>
      </c>
      <c r="AC1" t="s">
        <v>17</v>
      </c>
      <c r="AD1" t="s">
        <v>18</v>
      </c>
      <c r="AE1" t="s">
        <v>19</v>
      </c>
      <c r="AF1" t="s">
        <v>20</v>
      </c>
      <c r="AG1" t="s">
        <v>21</v>
      </c>
      <c r="AH1" t="s">
        <v>22</v>
      </c>
      <c r="AI1" t="s">
        <v>23</v>
      </c>
      <c r="AJ1" t="s">
        <v>24</v>
      </c>
      <c r="AK1" t="s">
        <v>25</v>
      </c>
      <c r="AL1" t="s">
        <v>26</v>
      </c>
      <c r="AM1" t="s">
        <v>27</v>
      </c>
      <c r="AN1" t="s">
        <v>28</v>
      </c>
      <c r="AO1" t="s">
        <v>29</v>
      </c>
      <c r="AP1" t="s">
        <v>30</v>
      </c>
      <c r="AQ1" t="s">
        <v>31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</row>
    <row r="2" spans="1:54" x14ac:dyDescent="0.25">
      <c r="A2">
        <v>2.0444E-3</v>
      </c>
      <c r="B2">
        <v>1.9265E-3</v>
      </c>
      <c r="C2">
        <v>1.9451E-3</v>
      </c>
      <c r="D2">
        <v>2.1419E-3</v>
      </c>
      <c r="E2">
        <v>2.1738E-3</v>
      </c>
      <c r="F2">
        <v>5.5462000000000003E-3</v>
      </c>
      <c r="G2">
        <v>2.9107999999999998E-3</v>
      </c>
      <c r="H2">
        <v>3.9921999999999996E-3</v>
      </c>
      <c r="I2">
        <v>6.4685000000000003E-3</v>
      </c>
      <c r="J2">
        <v>1.0507600000000001E-2</v>
      </c>
      <c r="K2">
        <v>1.8938199999999999E-2</v>
      </c>
      <c r="L2">
        <v>3.5829100000000003E-2</v>
      </c>
      <c r="M2">
        <v>6.9507399999999997E-2</v>
      </c>
      <c r="N2">
        <v>0.1368</v>
      </c>
      <c r="O2">
        <v>0.273422</v>
      </c>
      <c r="P2">
        <v>0.54767699999999997</v>
      </c>
      <c r="Q2">
        <v>5.5003999999999999E-3</v>
      </c>
      <c r="R2">
        <v>1.2987500000000001E-2</v>
      </c>
      <c r="S2">
        <v>2.15734E-2</v>
      </c>
      <c r="T2">
        <v>4.3273899999999997E-2</v>
      </c>
      <c r="U2">
        <v>8.5761900000000002E-2</v>
      </c>
      <c r="V2">
        <v>0.17054900000000001</v>
      </c>
      <c r="W2">
        <v>0.34728199999999998</v>
      </c>
      <c r="X2">
        <v>0.69775900000000002</v>
      </c>
      <c r="Y2">
        <v>1.39425</v>
      </c>
      <c r="Z2">
        <v>2.7171599999999998</v>
      </c>
      <c r="AA2">
        <v>5.4463699999999999</v>
      </c>
      <c r="AB2">
        <v>6.7020999999999999E-3</v>
      </c>
      <c r="AC2">
        <v>1.6463999999999999E-3</v>
      </c>
      <c r="AD2">
        <v>1.5532E-3</v>
      </c>
      <c r="AE2">
        <v>1.6971E-3</v>
      </c>
      <c r="AF2">
        <v>1.9017999999999999E-3</v>
      </c>
      <c r="AG2">
        <v>2.0595000000000001E-3</v>
      </c>
      <c r="AH2">
        <v>2.8422999999999999E-3</v>
      </c>
      <c r="AI2">
        <v>4.4000000000000003E-3</v>
      </c>
      <c r="AJ2">
        <v>6.5585000000000001E-3</v>
      </c>
      <c r="AK2">
        <v>1.20672E-2</v>
      </c>
      <c r="AL2">
        <v>2.2318500000000002E-2</v>
      </c>
      <c r="AM2">
        <v>4.30216E-2</v>
      </c>
      <c r="AN2">
        <v>8.4842600000000004E-2</v>
      </c>
      <c r="AO2">
        <v>0.16819400000000001</v>
      </c>
      <c r="AP2">
        <v>0.336482</v>
      </c>
      <c r="AQ2">
        <v>0.67540999999999995</v>
      </c>
      <c r="AR2">
        <v>9.5139000000000005E-3</v>
      </c>
      <c r="AS2">
        <v>1.94912E-2</v>
      </c>
      <c r="AT2">
        <v>3.8809299999999998E-2</v>
      </c>
      <c r="AU2">
        <v>9.1356999999999994E-2</v>
      </c>
      <c r="AV2">
        <v>0.157024</v>
      </c>
      <c r="AW2">
        <v>0.30663200000000002</v>
      </c>
      <c r="AX2">
        <v>0.61362499999999998</v>
      </c>
      <c r="AY2">
        <v>1.24634</v>
      </c>
      <c r="AZ2">
        <v>2.4923700000000002</v>
      </c>
      <c r="BA2">
        <v>4.9433999999999996</v>
      </c>
      <c r="BB2">
        <v>9.8667999999999996</v>
      </c>
    </row>
    <row r="3" spans="1:54" x14ac:dyDescent="0.25">
      <c r="A3">
        <v>1.8064999999999999E-3</v>
      </c>
      <c r="B3">
        <v>1.6942000000000001E-3</v>
      </c>
      <c r="C3">
        <v>1.8346E-3</v>
      </c>
      <c r="D3">
        <v>1.8462000000000001E-3</v>
      </c>
      <c r="E3">
        <v>1.8029999999999999E-3</v>
      </c>
      <c r="F3">
        <v>2.6299000000000001E-3</v>
      </c>
      <c r="G3">
        <v>2.7219000000000002E-3</v>
      </c>
      <c r="H3">
        <v>3.9697999999999999E-3</v>
      </c>
      <c r="I3">
        <v>6.0907000000000001E-3</v>
      </c>
      <c r="J3">
        <v>1.01981E-2</v>
      </c>
      <c r="K3">
        <v>1.8508299999999998E-2</v>
      </c>
      <c r="L3">
        <v>3.5589999999999997E-2</v>
      </c>
      <c r="M3">
        <v>6.9381999999999999E-2</v>
      </c>
      <c r="N3">
        <v>0.13669600000000001</v>
      </c>
      <c r="O3">
        <v>0.27327600000000002</v>
      </c>
      <c r="P3">
        <v>0.54766499999999996</v>
      </c>
      <c r="Q3">
        <v>5.398E-3</v>
      </c>
      <c r="R3">
        <v>1.0883E-2</v>
      </c>
      <c r="S3">
        <v>2.1314799999999998E-2</v>
      </c>
      <c r="T3">
        <v>4.2934699999999999E-2</v>
      </c>
      <c r="U3">
        <v>8.5996100000000006E-2</v>
      </c>
      <c r="V3">
        <v>0.176373</v>
      </c>
      <c r="W3">
        <v>0.35049200000000003</v>
      </c>
      <c r="X3">
        <v>0.70257800000000004</v>
      </c>
      <c r="Y3">
        <v>1.3416600000000001</v>
      </c>
      <c r="Z3">
        <v>2.7099799999999998</v>
      </c>
      <c r="AA3">
        <v>5.4239800000000002</v>
      </c>
      <c r="AB3">
        <v>1.5685E-3</v>
      </c>
      <c r="AC3">
        <v>1.4633999999999999E-3</v>
      </c>
      <c r="AD3">
        <v>1.4055000000000001E-3</v>
      </c>
      <c r="AE3">
        <v>1.4258000000000001E-3</v>
      </c>
      <c r="AF3">
        <v>1.6256E-3</v>
      </c>
      <c r="AG3">
        <v>1.848E-3</v>
      </c>
      <c r="AH3">
        <v>2.3925999999999999E-3</v>
      </c>
      <c r="AI3">
        <v>3.8741000000000001E-3</v>
      </c>
      <c r="AJ3">
        <v>6.4545999999999996E-3</v>
      </c>
      <c r="AK3">
        <v>1.1890299999999999E-2</v>
      </c>
      <c r="AL3">
        <v>2.2042800000000001E-2</v>
      </c>
      <c r="AM3">
        <v>4.3099800000000001E-2</v>
      </c>
      <c r="AN3">
        <v>8.4910399999999997E-2</v>
      </c>
      <c r="AO3">
        <v>0.16797599999999999</v>
      </c>
      <c r="AP3">
        <v>0.33643899999999999</v>
      </c>
      <c r="AQ3">
        <v>0.67528900000000003</v>
      </c>
      <c r="AR3">
        <v>9.3761999999999995E-3</v>
      </c>
      <c r="AS3">
        <v>1.9616999999999999E-2</v>
      </c>
      <c r="AT3">
        <v>4.0387800000000001E-2</v>
      </c>
      <c r="AU3">
        <v>9.1754299999999997E-2</v>
      </c>
      <c r="AV3">
        <v>0.154031</v>
      </c>
      <c r="AW3">
        <v>0.30617499999999997</v>
      </c>
      <c r="AX3">
        <v>0.61809800000000004</v>
      </c>
      <c r="AY3">
        <v>1.22756</v>
      </c>
      <c r="AZ3">
        <v>2.4717199999999999</v>
      </c>
      <c r="BA3">
        <v>4.9056100000000002</v>
      </c>
      <c r="BB3">
        <v>9.8989700000000003</v>
      </c>
    </row>
    <row r="4" spans="1:54" x14ac:dyDescent="0.25">
      <c r="A4">
        <v>1.6991E-3</v>
      </c>
      <c r="B4">
        <v>1.6816999999999999E-3</v>
      </c>
      <c r="C4">
        <v>1.9208000000000001E-3</v>
      </c>
      <c r="D4">
        <v>2.0864999999999998E-3</v>
      </c>
      <c r="E4">
        <v>1.7266E-3</v>
      </c>
      <c r="F4">
        <v>3.2891999999999999E-3</v>
      </c>
      <c r="G4">
        <v>2.5412999999999998E-3</v>
      </c>
      <c r="H4">
        <v>3.9655000000000003E-3</v>
      </c>
      <c r="I4">
        <v>6.6506999999999998E-3</v>
      </c>
      <c r="J4">
        <v>1.0141300000000001E-2</v>
      </c>
      <c r="K4">
        <v>1.8863999999999999E-2</v>
      </c>
      <c r="L4">
        <v>3.5567099999999997E-2</v>
      </c>
      <c r="M4">
        <v>6.9312399999999996E-2</v>
      </c>
      <c r="N4">
        <v>0.13688</v>
      </c>
      <c r="O4">
        <v>0.27329199999999998</v>
      </c>
      <c r="P4">
        <v>0.54778300000000002</v>
      </c>
      <c r="Q4">
        <v>5.5304999999999998E-3</v>
      </c>
      <c r="R4">
        <v>1.10659E-2</v>
      </c>
      <c r="S4">
        <v>2.1048799999999999E-2</v>
      </c>
      <c r="T4">
        <v>4.1501700000000002E-2</v>
      </c>
      <c r="U4">
        <v>8.4203500000000001E-2</v>
      </c>
      <c r="V4">
        <v>0.16904</v>
      </c>
      <c r="W4">
        <v>0.35968899999999998</v>
      </c>
      <c r="X4">
        <v>0.69512399999999996</v>
      </c>
      <c r="Y4">
        <v>1.34449</v>
      </c>
      <c r="Z4">
        <v>2.6979700000000002</v>
      </c>
      <c r="AA4">
        <v>5.36266</v>
      </c>
      <c r="AB4">
        <v>1.5596E-3</v>
      </c>
      <c r="AC4">
        <v>1.4534000000000001E-3</v>
      </c>
      <c r="AD4">
        <v>1.2549E-3</v>
      </c>
      <c r="AE4">
        <v>1.3424000000000001E-3</v>
      </c>
      <c r="AF4">
        <v>1.5666E-3</v>
      </c>
      <c r="AG4">
        <v>1.7975000000000001E-3</v>
      </c>
      <c r="AH4">
        <v>2.4082999999999999E-3</v>
      </c>
      <c r="AI4">
        <v>3.6847999999999998E-3</v>
      </c>
      <c r="AJ4">
        <v>6.4984999999999999E-3</v>
      </c>
      <c r="AK4">
        <v>1.1802099999999999E-2</v>
      </c>
      <c r="AL4">
        <v>2.2050699999999999E-2</v>
      </c>
      <c r="AM4">
        <v>4.3000499999999997E-2</v>
      </c>
      <c r="AN4">
        <v>8.4745399999999999E-2</v>
      </c>
      <c r="AO4">
        <v>0.167855</v>
      </c>
      <c r="AP4">
        <v>0.33641199999999999</v>
      </c>
      <c r="AQ4">
        <v>0.67537999999999998</v>
      </c>
      <c r="AR4">
        <v>9.7058999999999999E-3</v>
      </c>
      <c r="AS4">
        <v>1.9476E-2</v>
      </c>
      <c r="AT4">
        <v>3.7666699999999997E-2</v>
      </c>
      <c r="AU4">
        <v>8.1309199999999998E-2</v>
      </c>
      <c r="AV4">
        <v>0.15581200000000001</v>
      </c>
      <c r="AW4">
        <v>0.31093399999999999</v>
      </c>
      <c r="AX4">
        <v>0.62656100000000003</v>
      </c>
      <c r="AY4">
        <v>1.2263299999999999</v>
      </c>
      <c r="AZ4">
        <v>2.4715199999999999</v>
      </c>
      <c r="BA4">
        <v>4.9368999999999996</v>
      </c>
      <c r="BB4">
        <v>9.7813199999999991</v>
      </c>
    </row>
    <row r="5" spans="1:54" x14ac:dyDescent="0.25">
      <c r="A5">
        <v>1.645E-3</v>
      </c>
      <c r="B5">
        <v>1.7015999999999999E-3</v>
      </c>
      <c r="C5">
        <v>1.8312999999999999E-3</v>
      </c>
      <c r="D5">
        <v>1.9623000000000002E-3</v>
      </c>
      <c r="E5">
        <v>1.7972000000000001E-3</v>
      </c>
      <c r="F5">
        <v>5.7637000000000001E-3</v>
      </c>
      <c r="G5">
        <v>2.5999999999999999E-3</v>
      </c>
      <c r="H5">
        <v>3.8820999999999999E-3</v>
      </c>
      <c r="I5">
        <v>6.4600999999999999E-3</v>
      </c>
      <c r="J5">
        <v>1.02998E-2</v>
      </c>
      <c r="K5">
        <v>1.86634E-2</v>
      </c>
      <c r="L5">
        <v>3.5460899999999997E-2</v>
      </c>
      <c r="M5">
        <v>6.9361500000000006E-2</v>
      </c>
      <c r="N5">
        <v>0.13659399999999999</v>
      </c>
      <c r="O5">
        <v>0.27327200000000001</v>
      </c>
      <c r="P5">
        <v>0.54753200000000002</v>
      </c>
      <c r="Q5">
        <v>5.3788999999999998E-3</v>
      </c>
      <c r="R5">
        <v>1.0761400000000001E-2</v>
      </c>
      <c r="S5">
        <v>2.15266E-2</v>
      </c>
      <c r="T5">
        <v>4.1706E-2</v>
      </c>
      <c r="U5">
        <v>8.8325399999999998E-2</v>
      </c>
      <c r="V5">
        <v>0.16958000000000001</v>
      </c>
      <c r="W5">
        <v>0.34502100000000002</v>
      </c>
      <c r="X5">
        <v>0.67707200000000001</v>
      </c>
      <c r="Y5">
        <v>1.38693</v>
      </c>
      <c r="Z5">
        <v>2.7114400000000001</v>
      </c>
      <c r="AA5">
        <v>5.40787</v>
      </c>
      <c r="AB5">
        <v>1.4220000000000001E-3</v>
      </c>
      <c r="AC5">
        <v>1.3655E-3</v>
      </c>
      <c r="AD5">
        <v>1.4028999999999999E-3</v>
      </c>
      <c r="AE5">
        <v>1.4291E-3</v>
      </c>
      <c r="AF5">
        <v>1.4713E-3</v>
      </c>
      <c r="AG5">
        <v>1.6980999999999999E-3</v>
      </c>
      <c r="AH5">
        <v>2.4507999999999999E-3</v>
      </c>
      <c r="AI5">
        <v>4.0575000000000003E-3</v>
      </c>
      <c r="AJ5">
        <v>6.5353E-3</v>
      </c>
      <c r="AK5">
        <v>1.16878E-2</v>
      </c>
      <c r="AL5">
        <v>2.21458E-2</v>
      </c>
      <c r="AM5">
        <v>4.2846000000000002E-2</v>
      </c>
      <c r="AN5">
        <v>8.4734299999999999E-2</v>
      </c>
      <c r="AO5">
        <v>0.16786899999999999</v>
      </c>
      <c r="AP5">
        <v>0.336428</v>
      </c>
      <c r="AQ5">
        <v>0.67530699999999999</v>
      </c>
      <c r="AR5">
        <v>9.8936000000000007E-3</v>
      </c>
      <c r="AS5">
        <v>1.99597E-2</v>
      </c>
      <c r="AT5">
        <v>3.8363300000000003E-2</v>
      </c>
      <c r="AU5">
        <v>8.7950200000000006E-2</v>
      </c>
      <c r="AV5">
        <v>0.15510499999999999</v>
      </c>
      <c r="AW5">
        <v>0.30177500000000002</v>
      </c>
      <c r="AX5">
        <v>0.61471100000000001</v>
      </c>
      <c r="AY5">
        <v>1.21574</v>
      </c>
      <c r="AZ5">
        <v>2.5246200000000001</v>
      </c>
      <c r="BA5">
        <v>4.9142900000000003</v>
      </c>
      <c r="BB5">
        <v>9.9035799999999998</v>
      </c>
    </row>
    <row r="6" spans="1:54" x14ac:dyDescent="0.25">
      <c r="A6">
        <v>1.7737E-3</v>
      </c>
      <c r="B6">
        <v>1.8879999999999999E-3</v>
      </c>
      <c r="C6">
        <v>1.7588E-3</v>
      </c>
      <c r="D6">
        <v>1.8251000000000001E-3</v>
      </c>
      <c r="E6">
        <v>1.89E-3</v>
      </c>
      <c r="F6">
        <v>3.2022000000000001E-3</v>
      </c>
      <c r="G6">
        <v>2.7507E-3</v>
      </c>
      <c r="H6">
        <v>3.9264E-3</v>
      </c>
      <c r="I6">
        <v>5.9988999999999997E-3</v>
      </c>
      <c r="J6">
        <v>1.03667E-2</v>
      </c>
      <c r="K6">
        <v>1.8867100000000001E-2</v>
      </c>
      <c r="L6">
        <v>3.5982600000000003E-2</v>
      </c>
      <c r="M6">
        <v>6.9266800000000003E-2</v>
      </c>
      <c r="N6">
        <v>0.13677400000000001</v>
      </c>
      <c r="O6">
        <v>0.27376600000000001</v>
      </c>
      <c r="P6">
        <v>0.54766700000000001</v>
      </c>
      <c r="Q6">
        <v>5.3896999999999999E-3</v>
      </c>
      <c r="R6">
        <v>1.09704E-2</v>
      </c>
      <c r="S6">
        <v>2.13431E-2</v>
      </c>
      <c r="T6">
        <v>4.15342E-2</v>
      </c>
      <c r="U6">
        <v>8.3292599999999994E-2</v>
      </c>
      <c r="V6">
        <v>0.17235700000000001</v>
      </c>
      <c r="W6">
        <v>0.34448299999999998</v>
      </c>
      <c r="X6">
        <v>0.68006500000000003</v>
      </c>
      <c r="Y6">
        <v>1.34796</v>
      </c>
      <c r="Z6">
        <v>2.7107100000000002</v>
      </c>
      <c r="AA6">
        <v>5.4313099999999999</v>
      </c>
      <c r="AB6">
        <v>1.3347999999999999E-3</v>
      </c>
      <c r="AC6">
        <v>1.7143E-3</v>
      </c>
      <c r="AD6">
        <v>1.3465E-3</v>
      </c>
      <c r="AE6">
        <v>1.3954E-3</v>
      </c>
      <c r="AF6">
        <v>1.4123E-3</v>
      </c>
      <c r="AG6">
        <v>1.6678999999999999E-3</v>
      </c>
      <c r="AH6">
        <v>2.5885999999999999E-3</v>
      </c>
      <c r="AI6">
        <v>4.2107999999999998E-3</v>
      </c>
      <c r="AJ6">
        <v>6.5817999999999996E-3</v>
      </c>
      <c r="AK6">
        <v>1.1792199999999999E-2</v>
      </c>
      <c r="AL6">
        <v>2.2055499999999999E-2</v>
      </c>
      <c r="AM6">
        <v>4.2889900000000002E-2</v>
      </c>
      <c r="AN6">
        <v>8.4777000000000005E-2</v>
      </c>
      <c r="AO6">
        <v>0.167904</v>
      </c>
      <c r="AP6">
        <v>0.33644600000000002</v>
      </c>
      <c r="AQ6">
        <v>0.67533900000000002</v>
      </c>
      <c r="AR6">
        <v>1.00377E-2</v>
      </c>
      <c r="AS6">
        <v>2.0517000000000001E-2</v>
      </c>
      <c r="AT6">
        <v>4.1224799999999999E-2</v>
      </c>
      <c r="AU6">
        <v>9.1353900000000002E-2</v>
      </c>
      <c r="AV6">
        <v>0.159661</v>
      </c>
      <c r="AW6">
        <v>0.32177099999999997</v>
      </c>
      <c r="AX6">
        <v>0.61430099999999999</v>
      </c>
      <c r="AY6">
        <v>1.2315199999999999</v>
      </c>
      <c r="AZ6">
        <v>2.4372199999999999</v>
      </c>
      <c r="BA6">
        <v>4.9827199999999996</v>
      </c>
      <c r="BB6">
        <v>9.9493600000000004</v>
      </c>
    </row>
    <row r="7" spans="1:54" x14ac:dyDescent="0.25">
      <c r="A7">
        <v>1.7717E-3</v>
      </c>
      <c r="B7">
        <v>1.7235E-3</v>
      </c>
      <c r="C7">
        <v>1.8258E-3</v>
      </c>
      <c r="D7">
        <v>1.7286999999999999E-3</v>
      </c>
      <c r="E7">
        <v>1.8568E-3</v>
      </c>
      <c r="F7">
        <v>3.0547E-3</v>
      </c>
      <c r="G7">
        <v>2.6313999999999999E-3</v>
      </c>
      <c r="H7">
        <v>3.8333E-3</v>
      </c>
      <c r="I7">
        <v>6.0764E-3</v>
      </c>
      <c r="J7">
        <v>1.01858E-2</v>
      </c>
      <c r="K7">
        <v>1.89515E-2</v>
      </c>
      <c r="L7">
        <v>3.5622099999999997E-2</v>
      </c>
      <c r="M7">
        <v>6.9254499999999997E-2</v>
      </c>
      <c r="N7">
        <v>0.13691500000000001</v>
      </c>
      <c r="O7">
        <v>0.273785</v>
      </c>
      <c r="P7">
        <v>0.54766800000000004</v>
      </c>
      <c r="Q7">
        <v>5.5014E-3</v>
      </c>
      <c r="R7">
        <v>1.08506E-2</v>
      </c>
      <c r="S7">
        <v>2.0926400000000001E-2</v>
      </c>
      <c r="T7">
        <v>4.1573400000000003E-2</v>
      </c>
      <c r="U7">
        <v>8.4326200000000004E-2</v>
      </c>
      <c r="V7">
        <v>0.17169699999999999</v>
      </c>
      <c r="W7">
        <v>0.34005099999999999</v>
      </c>
      <c r="X7">
        <v>0.65577300000000005</v>
      </c>
      <c r="Y7">
        <v>1.35283</v>
      </c>
      <c r="Z7">
        <v>2.72858</v>
      </c>
      <c r="AA7">
        <v>5.4007899999999998</v>
      </c>
      <c r="AB7">
        <v>1.2833E-3</v>
      </c>
      <c r="AC7">
        <v>1.4599000000000001E-3</v>
      </c>
      <c r="AD7">
        <v>1.4717E-3</v>
      </c>
      <c r="AE7">
        <v>1.3190000000000001E-3</v>
      </c>
      <c r="AF7">
        <v>1.3795999999999999E-3</v>
      </c>
      <c r="AG7">
        <v>1.7834999999999999E-3</v>
      </c>
      <c r="AH7">
        <v>2.3953999999999998E-3</v>
      </c>
      <c r="AI7">
        <v>4.0020999999999998E-3</v>
      </c>
      <c r="AJ7">
        <v>6.5700000000000003E-3</v>
      </c>
      <c r="AK7">
        <v>1.17085E-2</v>
      </c>
      <c r="AL7">
        <v>2.2139599999999999E-2</v>
      </c>
      <c r="AM7">
        <v>4.2882900000000002E-2</v>
      </c>
      <c r="AN7">
        <v>8.4786299999999995E-2</v>
      </c>
      <c r="AO7">
        <v>0.167766</v>
      </c>
      <c r="AP7">
        <v>0.33662199999999998</v>
      </c>
      <c r="AQ7">
        <v>0.67536499999999999</v>
      </c>
      <c r="AR7">
        <v>1.00144E-2</v>
      </c>
      <c r="AS7">
        <v>1.9481100000000001E-2</v>
      </c>
      <c r="AT7">
        <v>4.1949699999999999E-2</v>
      </c>
      <c r="AU7">
        <v>8.5213399999999995E-2</v>
      </c>
      <c r="AV7">
        <v>0.15184300000000001</v>
      </c>
      <c r="AW7">
        <v>0.31083499999999997</v>
      </c>
      <c r="AX7">
        <v>0.61019400000000001</v>
      </c>
      <c r="AY7">
        <v>1.21221</v>
      </c>
      <c r="AZ7">
        <v>2.4538799999999998</v>
      </c>
      <c r="BA7">
        <v>4.9134099999999998</v>
      </c>
      <c r="BB7">
        <v>9.7674000000000003</v>
      </c>
    </row>
    <row r="8" spans="1:54" x14ac:dyDescent="0.25">
      <c r="A8">
        <v>1.7087000000000001E-3</v>
      </c>
      <c r="B8">
        <v>1.6842999999999999E-3</v>
      </c>
      <c r="C8">
        <v>1.6586999999999999E-3</v>
      </c>
      <c r="D8">
        <v>1.7905E-3</v>
      </c>
      <c r="E8">
        <v>1.7034999999999999E-3</v>
      </c>
      <c r="F8">
        <v>4.6381E-3</v>
      </c>
      <c r="G8">
        <v>2.6882E-3</v>
      </c>
      <c r="H8">
        <v>4.3239000000000003E-3</v>
      </c>
      <c r="I8">
        <v>6.1468E-3</v>
      </c>
      <c r="J8">
        <v>1.0403300000000001E-2</v>
      </c>
      <c r="K8">
        <v>1.90764E-2</v>
      </c>
      <c r="L8">
        <v>3.5658500000000003E-2</v>
      </c>
      <c r="M8">
        <v>6.9542599999999996E-2</v>
      </c>
      <c r="N8">
        <v>0.13703000000000001</v>
      </c>
      <c r="O8">
        <v>0.273289</v>
      </c>
      <c r="P8">
        <v>0.54757</v>
      </c>
      <c r="Q8">
        <v>5.4291000000000001E-3</v>
      </c>
      <c r="R8">
        <v>1.0772500000000001E-2</v>
      </c>
      <c r="S8">
        <v>2.0988099999999999E-2</v>
      </c>
      <c r="T8">
        <v>4.2206500000000001E-2</v>
      </c>
      <c r="U8">
        <v>8.4352200000000002E-2</v>
      </c>
      <c r="V8">
        <v>0.16902600000000001</v>
      </c>
      <c r="W8">
        <v>0.34173399999999998</v>
      </c>
      <c r="X8">
        <v>0.69009900000000002</v>
      </c>
      <c r="Y8">
        <v>1.3441399999999999</v>
      </c>
      <c r="Z8">
        <v>2.6967099999999999</v>
      </c>
      <c r="AA8">
        <v>5.42354</v>
      </c>
      <c r="AB8">
        <v>1.3048000000000001E-3</v>
      </c>
      <c r="AC8">
        <v>1.3507E-3</v>
      </c>
      <c r="AD8">
        <v>1.3324000000000001E-3</v>
      </c>
      <c r="AE8">
        <v>1.4061E-3</v>
      </c>
      <c r="AF8">
        <v>1.4155000000000001E-3</v>
      </c>
      <c r="AG8">
        <v>1.7903999999999999E-3</v>
      </c>
      <c r="AH8">
        <v>2.4883000000000001E-3</v>
      </c>
      <c r="AI8">
        <v>3.8869999999999998E-3</v>
      </c>
      <c r="AJ8">
        <v>6.594E-3</v>
      </c>
      <c r="AK8">
        <v>1.1742499999999999E-2</v>
      </c>
      <c r="AL8">
        <v>2.20629E-2</v>
      </c>
      <c r="AM8">
        <v>4.2855999999999998E-2</v>
      </c>
      <c r="AN8">
        <v>8.4693500000000005E-2</v>
      </c>
      <c r="AO8">
        <v>0.167828</v>
      </c>
      <c r="AP8">
        <v>0.33651199999999998</v>
      </c>
      <c r="AQ8">
        <v>0.67527300000000001</v>
      </c>
      <c r="AR8">
        <v>9.4602000000000002E-3</v>
      </c>
      <c r="AS8">
        <v>1.9294599999999999E-2</v>
      </c>
      <c r="AT8">
        <v>3.9621999999999997E-2</v>
      </c>
      <c r="AU8">
        <v>7.8577900000000006E-2</v>
      </c>
      <c r="AV8">
        <v>0.157279</v>
      </c>
      <c r="AW8">
        <v>0.31461899999999998</v>
      </c>
      <c r="AX8">
        <v>0.60655400000000004</v>
      </c>
      <c r="AY8">
        <v>1.21478</v>
      </c>
      <c r="AZ8">
        <v>2.4428000000000001</v>
      </c>
      <c r="BA8">
        <v>4.8949699999999998</v>
      </c>
      <c r="BB8">
        <v>9.8078699999999994</v>
      </c>
    </row>
    <row r="9" spans="1:54" x14ac:dyDescent="0.25">
      <c r="A9">
        <v>1.7516000000000001E-3</v>
      </c>
      <c r="B9">
        <v>1.6172000000000001E-3</v>
      </c>
      <c r="C9">
        <v>1.6237999999999999E-3</v>
      </c>
      <c r="D9">
        <v>1.6234000000000001E-3</v>
      </c>
      <c r="E9">
        <v>1.7216E-3</v>
      </c>
      <c r="F9">
        <v>2.6183999999999999E-3</v>
      </c>
      <c r="G9">
        <v>2.7566000000000001E-3</v>
      </c>
      <c r="H9">
        <v>3.9718000000000002E-3</v>
      </c>
      <c r="I9">
        <v>6.4980999999999997E-3</v>
      </c>
      <c r="J9">
        <v>1.03663E-2</v>
      </c>
      <c r="K9">
        <v>1.8756399999999999E-2</v>
      </c>
      <c r="L9">
        <v>3.5611700000000003E-2</v>
      </c>
      <c r="M9">
        <v>6.9419800000000004E-2</v>
      </c>
      <c r="N9">
        <v>0.13678599999999999</v>
      </c>
      <c r="O9">
        <v>0.273503</v>
      </c>
      <c r="P9">
        <v>0.54766899999999996</v>
      </c>
      <c r="Q9">
        <v>5.4660000000000004E-3</v>
      </c>
      <c r="R9">
        <v>1.07946E-2</v>
      </c>
      <c r="S9">
        <v>2.1437399999999999E-2</v>
      </c>
      <c r="T9">
        <v>4.3228900000000001E-2</v>
      </c>
      <c r="U9">
        <v>8.4760299999999997E-2</v>
      </c>
      <c r="V9">
        <v>0.186277</v>
      </c>
      <c r="W9">
        <v>0.34010699999999999</v>
      </c>
      <c r="X9">
        <v>0.66173400000000004</v>
      </c>
      <c r="Y9">
        <v>1.3460000000000001</v>
      </c>
      <c r="Z9">
        <v>2.7443900000000001</v>
      </c>
      <c r="AA9">
        <v>5.4378399999999996</v>
      </c>
      <c r="AB9">
        <v>1.4767999999999999E-3</v>
      </c>
      <c r="AC9">
        <v>1.2986E-3</v>
      </c>
      <c r="AD9">
        <v>1.2278E-3</v>
      </c>
      <c r="AE9">
        <v>1.3362000000000001E-3</v>
      </c>
      <c r="AF9">
        <v>1.5104000000000001E-3</v>
      </c>
      <c r="AG9">
        <v>1.668E-3</v>
      </c>
      <c r="AH9">
        <v>2.5707999999999998E-3</v>
      </c>
      <c r="AI9">
        <v>4.3118999999999996E-3</v>
      </c>
      <c r="AJ9">
        <v>6.4213999999999999E-3</v>
      </c>
      <c r="AK9">
        <v>1.16569E-2</v>
      </c>
      <c r="AL9">
        <v>2.2128200000000001E-2</v>
      </c>
      <c r="AM9">
        <v>4.2774399999999997E-2</v>
      </c>
      <c r="AN9">
        <v>8.4710300000000002E-2</v>
      </c>
      <c r="AO9">
        <v>0.167939</v>
      </c>
      <c r="AP9">
        <v>0.336507</v>
      </c>
      <c r="AQ9">
        <v>0.67545999999999995</v>
      </c>
      <c r="AR9">
        <v>9.4604000000000008E-3</v>
      </c>
      <c r="AS9">
        <v>1.9272999999999998E-2</v>
      </c>
      <c r="AT9">
        <v>4.2186099999999997E-2</v>
      </c>
      <c r="AU9">
        <v>8.7983400000000003E-2</v>
      </c>
      <c r="AV9">
        <v>0.15418699999999999</v>
      </c>
      <c r="AW9">
        <v>0.29996099999999998</v>
      </c>
      <c r="AX9">
        <v>0.61832399999999998</v>
      </c>
      <c r="AY9">
        <v>1.20438</v>
      </c>
      <c r="AZ9">
        <v>2.4744199999999998</v>
      </c>
      <c r="BA9">
        <v>4.8796200000000001</v>
      </c>
      <c r="BB9">
        <v>9.9266199999999998</v>
      </c>
    </row>
    <row r="10" spans="1:54" x14ac:dyDescent="0.25">
      <c r="A10">
        <v>1.7408E-3</v>
      </c>
      <c r="B10">
        <v>1.7135E-3</v>
      </c>
      <c r="C10">
        <v>1.6603E-3</v>
      </c>
      <c r="D10">
        <v>1.6932E-3</v>
      </c>
      <c r="E10">
        <v>1.7569E-3</v>
      </c>
      <c r="F10">
        <v>2.7934000000000001E-3</v>
      </c>
      <c r="G10">
        <v>2.7063999999999999E-3</v>
      </c>
      <c r="H10">
        <v>3.8248000000000002E-3</v>
      </c>
      <c r="I10">
        <v>6.1431000000000003E-3</v>
      </c>
      <c r="J10">
        <v>1.0333E-2</v>
      </c>
      <c r="K10">
        <v>1.8689999999999998E-2</v>
      </c>
      <c r="L10">
        <v>3.5592100000000002E-2</v>
      </c>
      <c r="M10">
        <v>6.9553100000000007E-2</v>
      </c>
      <c r="N10">
        <v>0.13691</v>
      </c>
      <c r="O10">
        <v>0.27337299999999998</v>
      </c>
      <c r="P10">
        <v>0.547539</v>
      </c>
      <c r="Q10">
        <v>5.6673000000000001E-3</v>
      </c>
      <c r="R10">
        <v>1.03365E-2</v>
      </c>
      <c r="S10">
        <v>2.1736100000000001E-2</v>
      </c>
      <c r="T10">
        <v>4.2854400000000001E-2</v>
      </c>
      <c r="U10">
        <v>8.7238800000000005E-2</v>
      </c>
      <c r="V10">
        <v>0.173932</v>
      </c>
      <c r="W10">
        <v>0.32642300000000002</v>
      </c>
      <c r="X10">
        <v>0.68213100000000004</v>
      </c>
      <c r="Y10">
        <v>1.37294</v>
      </c>
      <c r="Z10">
        <v>2.6891699999999998</v>
      </c>
      <c r="AA10">
        <v>5.4070600000000004</v>
      </c>
      <c r="AB10">
        <v>1.3558000000000001E-3</v>
      </c>
      <c r="AC10">
        <v>1.3296E-3</v>
      </c>
      <c r="AD10">
        <v>1.2390999999999999E-3</v>
      </c>
      <c r="AE10">
        <v>1.2960000000000001E-3</v>
      </c>
      <c r="AF10">
        <v>1.5529999999999999E-3</v>
      </c>
      <c r="AG10">
        <v>1.6800000000000001E-3</v>
      </c>
      <c r="AH10">
        <v>2.7009999999999998E-3</v>
      </c>
      <c r="AI10">
        <v>4.6074000000000002E-3</v>
      </c>
      <c r="AJ10">
        <v>6.4021E-3</v>
      </c>
      <c r="AK10">
        <v>1.1786E-2</v>
      </c>
      <c r="AL10">
        <v>2.2174699999999999E-2</v>
      </c>
      <c r="AM10">
        <v>4.2773499999999999E-2</v>
      </c>
      <c r="AN10">
        <v>8.4848699999999999E-2</v>
      </c>
      <c r="AO10">
        <v>0.16788400000000001</v>
      </c>
      <c r="AP10">
        <v>0.33654299999999998</v>
      </c>
      <c r="AQ10">
        <v>0.67549899999999996</v>
      </c>
      <c r="AR10">
        <v>1.06763E-2</v>
      </c>
      <c r="AS10">
        <v>1.9520300000000001E-2</v>
      </c>
      <c r="AT10">
        <v>4.0769E-2</v>
      </c>
      <c r="AU10">
        <v>7.8657099999999994E-2</v>
      </c>
      <c r="AV10">
        <v>0.15454899999999999</v>
      </c>
      <c r="AW10">
        <v>0.30430600000000002</v>
      </c>
      <c r="AX10">
        <v>0.60507299999999997</v>
      </c>
      <c r="AY10">
        <v>1.2135100000000001</v>
      </c>
      <c r="AZ10">
        <v>2.5099900000000002</v>
      </c>
      <c r="BA10">
        <v>4.8965399999999999</v>
      </c>
      <c r="BB10">
        <v>9.8810400000000005</v>
      </c>
    </row>
    <row r="11" spans="1:54" x14ac:dyDescent="0.25">
      <c r="A11">
        <v>1.7461E-3</v>
      </c>
      <c r="B11">
        <v>1.7206999999999999E-3</v>
      </c>
      <c r="C11">
        <v>1.6381E-3</v>
      </c>
      <c r="D11">
        <v>1.7535999999999999E-3</v>
      </c>
      <c r="E11">
        <v>1.6899E-3</v>
      </c>
      <c r="F11">
        <v>2.9880000000000002E-3</v>
      </c>
      <c r="G11">
        <v>2.7382999999999999E-3</v>
      </c>
      <c r="H11">
        <v>3.9712000000000003E-3</v>
      </c>
      <c r="I11">
        <v>6.1127999999999998E-3</v>
      </c>
      <c r="J11">
        <v>1.0323499999999999E-2</v>
      </c>
      <c r="K11">
        <v>1.8951900000000001E-2</v>
      </c>
      <c r="L11">
        <v>3.5575700000000002E-2</v>
      </c>
      <c r="M11">
        <v>6.9297399999999995E-2</v>
      </c>
      <c r="N11">
        <v>0.136852</v>
      </c>
      <c r="O11">
        <v>0.27320800000000001</v>
      </c>
      <c r="P11">
        <v>0.54774999999999996</v>
      </c>
      <c r="Q11">
        <v>5.4619999999999998E-3</v>
      </c>
      <c r="R11">
        <v>1.14932E-2</v>
      </c>
      <c r="S11">
        <v>2.18818E-2</v>
      </c>
      <c r="T11">
        <v>4.1455199999999998E-2</v>
      </c>
      <c r="U11">
        <v>8.3194199999999996E-2</v>
      </c>
      <c r="V11">
        <v>0.16817599999999999</v>
      </c>
      <c r="W11">
        <v>0.33637299999999998</v>
      </c>
      <c r="X11">
        <v>0.68086999999999998</v>
      </c>
      <c r="Y11">
        <v>1.3467499999999999</v>
      </c>
      <c r="Z11">
        <v>2.7166199999999998</v>
      </c>
      <c r="AA11">
        <v>5.4170600000000002</v>
      </c>
      <c r="AB11">
        <v>1.3511E-3</v>
      </c>
      <c r="AC11">
        <v>1.1649E-3</v>
      </c>
      <c r="AD11">
        <v>1.2545E-3</v>
      </c>
      <c r="AE11">
        <v>1.3898000000000001E-3</v>
      </c>
      <c r="AF11">
        <v>1.4005000000000001E-3</v>
      </c>
      <c r="AG11">
        <v>1.6913E-3</v>
      </c>
      <c r="AH11">
        <v>2.5010000000000002E-3</v>
      </c>
      <c r="AI11">
        <v>4.1993999999999998E-3</v>
      </c>
      <c r="AJ11">
        <v>6.7492000000000003E-3</v>
      </c>
      <c r="AK11">
        <v>1.1747E-2</v>
      </c>
      <c r="AL11">
        <v>2.2124999999999999E-2</v>
      </c>
      <c r="AM11">
        <v>4.3042799999999999E-2</v>
      </c>
      <c r="AN11">
        <v>8.4781599999999999E-2</v>
      </c>
      <c r="AO11">
        <v>0.16820299999999999</v>
      </c>
      <c r="AP11">
        <v>0.33660800000000002</v>
      </c>
      <c r="AQ11">
        <v>0.67528900000000003</v>
      </c>
      <c r="AR11">
        <v>9.8300000000000002E-3</v>
      </c>
      <c r="AS11">
        <v>2.05487E-2</v>
      </c>
      <c r="AT11">
        <v>3.9017299999999998E-2</v>
      </c>
      <c r="AU11">
        <v>7.5248200000000001E-2</v>
      </c>
      <c r="AV11">
        <v>0.15723500000000001</v>
      </c>
      <c r="AW11">
        <v>0.31265599999999999</v>
      </c>
      <c r="AX11">
        <v>0.63033399999999995</v>
      </c>
      <c r="AY11">
        <v>1.24105</v>
      </c>
      <c r="AZ11">
        <v>2.4747400000000002</v>
      </c>
      <c r="BA11">
        <v>4.9058999999999999</v>
      </c>
      <c r="BB11">
        <v>9.7152999999999992</v>
      </c>
    </row>
    <row r="12" spans="1:54" x14ac:dyDescent="0.25">
      <c r="A12">
        <v>1.7676E-3</v>
      </c>
      <c r="B12">
        <v>1.6991E-3</v>
      </c>
      <c r="C12">
        <v>1.7141000000000001E-3</v>
      </c>
      <c r="D12">
        <v>1.6795E-3</v>
      </c>
      <c r="E12">
        <v>1.743E-3</v>
      </c>
      <c r="F12">
        <v>2.2396E-3</v>
      </c>
      <c r="G12">
        <v>2.6077000000000001E-3</v>
      </c>
      <c r="H12">
        <v>3.8555E-3</v>
      </c>
      <c r="I12">
        <v>6.0648000000000004E-3</v>
      </c>
      <c r="J12">
        <v>1.0367299999999999E-2</v>
      </c>
      <c r="K12">
        <v>1.8963799999999999E-2</v>
      </c>
      <c r="L12">
        <v>3.56456E-2</v>
      </c>
      <c r="M12">
        <v>6.9382799999999994E-2</v>
      </c>
      <c r="N12">
        <v>0.136794</v>
      </c>
      <c r="O12">
        <v>0.27319500000000002</v>
      </c>
      <c r="P12">
        <v>0.54760399999999998</v>
      </c>
      <c r="Q12">
        <v>5.2665999999999998E-3</v>
      </c>
      <c r="R12">
        <v>1.05317E-2</v>
      </c>
      <c r="S12">
        <v>2.2756100000000001E-2</v>
      </c>
      <c r="T12">
        <v>4.5061200000000003E-2</v>
      </c>
      <c r="U12">
        <v>8.6253399999999994E-2</v>
      </c>
      <c r="V12">
        <v>0.17114599999999999</v>
      </c>
      <c r="W12">
        <v>0.338646</v>
      </c>
      <c r="X12">
        <v>0.67715800000000004</v>
      </c>
      <c r="Y12">
        <v>1.36544</v>
      </c>
      <c r="Z12">
        <v>2.7481100000000001</v>
      </c>
      <c r="AA12">
        <v>5.4004000000000003</v>
      </c>
      <c r="AB12">
        <v>1.3470000000000001E-3</v>
      </c>
      <c r="AC12">
        <v>1.4446999999999999E-3</v>
      </c>
      <c r="AD12">
        <v>1.2232E-3</v>
      </c>
      <c r="AE12">
        <v>1.2734999999999999E-3</v>
      </c>
      <c r="AF12">
        <v>1.4132000000000001E-3</v>
      </c>
      <c r="AG12">
        <v>1.6544999999999999E-3</v>
      </c>
      <c r="AH12">
        <v>2.4754E-3</v>
      </c>
      <c r="AI12">
        <v>4.0295000000000001E-3</v>
      </c>
      <c r="AJ12">
        <v>6.535E-3</v>
      </c>
      <c r="AK12">
        <v>1.1772599999999999E-2</v>
      </c>
      <c r="AL12">
        <v>2.2340800000000001E-2</v>
      </c>
      <c r="AM12">
        <v>4.29685E-2</v>
      </c>
      <c r="AN12">
        <v>8.4639300000000001E-2</v>
      </c>
      <c r="AO12">
        <v>0.16777700000000001</v>
      </c>
      <c r="AP12">
        <v>0.33770499999999998</v>
      </c>
      <c r="AQ12">
        <v>0.67522599999999999</v>
      </c>
      <c r="AR12">
        <v>9.3199000000000008E-3</v>
      </c>
      <c r="AS12">
        <v>1.9566400000000001E-2</v>
      </c>
      <c r="AT12">
        <v>3.9368800000000002E-2</v>
      </c>
      <c r="AU12">
        <v>7.7277200000000004E-2</v>
      </c>
      <c r="AV12">
        <v>0.154864</v>
      </c>
      <c r="AW12">
        <v>0.29937900000000001</v>
      </c>
      <c r="AX12">
        <v>0.594171</v>
      </c>
      <c r="AY12">
        <v>1.2469399999999999</v>
      </c>
      <c r="AZ12">
        <v>2.4438900000000001</v>
      </c>
      <c r="BA12">
        <v>4.9540899999999999</v>
      </c>
      <c r="BB12">
        <v>9.8457299999999996</v>
      </c>
    </row>
    <row r="13" spans="1:54" x14ac:dyDescent="0.25">
      <c r="A13">
        <v>1.7247E-3</v>
      </c>
      <c r="B13">
        <v>1.6455E-3</v>
      </c>
      <c r="C13">
        <v>1.6570000000000001E-3</v>
      </c>
      <c r="D13">
        <v>2.0089000000000001E-3</v>
      </c>
      <c r="E13">
        <v>1.7786E-3</v>
      </c>
      <c r="F13">
        <v>2.2220999999999999E-3</v>
      </c>
      <c r="G13">
        <v>2.5121000000000002E-3</v>
      </c>
      <c r="H13">
        <v>3.8417E-3</v>
      </c>
      <c r="I13">
        <v>6.0047E-3</v>
      </c>
      <c r="J13">
        <v>1.0219499999999999E-2</v>
      </c>
      <c r="K13">
        <v>1.8875400000000001E-2</v>
      </c>
      <c r="L13">
        <v>3.5467899999999997E-2</v>
      </c>
      <c r="M13">
        <v>6.9629899999999995E-2</v>
      </c>
      <c r="N13">
        <v>0.136735</v>
      </c>
      <c r="O13">
        <v>0.27325100000000002</v>
      </c>
      <c r="P13">
        <v>0.54766199999999998</v>
      </c>
      <c r="Q13">
        <v>5.3442000000000003E-3</v>
      </c>
      <c r="R13">
        <v>1.0277E-2</v>
      </c>
      <c r="S13">
        <v>2.2268300000000001E-2</v>
      </c>
      <c r="T13">
        <v>4.1880800000000003E-2</v>
      </c>
      <c r="U13">
        <v>8.8151499999999994E-2</v>
      </c>
      <c r="V13">
        <v>0.16628299999999999</v>
      </c>
      <c r="W13">
        <v>0.33763900000000002</v>
      </c>
      <c r="X13">
        <v>0.66476199999999996</v>
      </c>
      <c r="Y13">
        <v>1.3508100000000001</v>
      </c>
      <c r="Z13">
        <v>2.6951700000000001</v>
      </c>
      <c r="AA13">
        <v>5.4180799999999998</v>
      </c>
      <c r="AB13">
        <v>1.2707E-3</v>
      </c>
      <c r="AC13">
        <v>1.6768E-3</v>
      </c>
      <c r="AD13">
        <v>1.2087999999999999E-3</v>
      </c>
      <c r="AE13">
        <v>1.3064999999999999E-3</v>
      </c>
      <c r="AF13">
        <v>1.3913E-3</v>
      </c>
      <c r="AG13">
        <v>1.629E-3</v>
      </c>
      <c r="AH13">
        <v>2.6001000000000002E-3</v>
      </c>
      <c r="AI13">
        <v>3.9795999999999998E-3</v>
      </c>
      <c r="AJ13">
        <v>6.5367000000000003E-3</v>
      </c>
      <c r="AK13">
        <v>1.16142E-2</v>
      </c>
      <c r="AL13">
        <v>2.20856E-2</v>
      </c>
      <c r="AM13">
        <v>4.2819599999999999E-2</v>
      </c>
      <c r="AN13">
        <v>8.4652199999999997E-2</v>
      </c>
      <c r="AO13">
        <v>0.16787099999999999</v>
      </c>
      <c r="AP13">
        <v>0.33863700000000002</v>
      </c>
      <c r="AQ13">
        <v>0.67522599999999999</v>
      </c>
      <c r="AR13">
        <v>9.4672000000000003E-3</v>
      </c>
      <c r="AS13">
        <v>1.9765600000000001E-2</v>
      </c>
      <c r="AT13">
        <v>4.02647E-2</v>
      </c>
      <c r="AU13">
        <v>7.7994300000000003E-2</v>
      </c>
      <c r="AV13">
        <v>0.15373200000000001</v>
      </c>
      <c r="AW13">
        <v>0.30909300000000001</v>
      </c>
      <c r="AX13">
        <v>0.60430899999999999</v>
      </c>
      <c r="AY13">
        <v>1.2434499999999999</v>
      </c>
      <c r="AZ13">
        <v>2.43946</v>
      </c>
      <c r="BA13">
        <v>4.8698499999999996</v>
      </c>
      <c r="BB13">
        <v>9.8218599999999991</v>
      </c>
    </row>
    <row r="14" spans="1:54" x14ac:dyDescent="0.25">
      <c r="A14">
        <v>1.7103000000000001E-3</v>
      </c>
      <c r="B14">
        <v>1.6816999999999999E-3</v>
      </c>
      <c r="C14">
        <v>1.6536999999999999E-3</v>
      </c>
      <c r="D14">
        <v>1.7114000000000001E-3</v>
      </c>
      <c r="E14">
        <v>1.9556E-3</v>
      </c>
      <c r="F14">
        <v>2.0972E-3</v>
      </c>
      <c r="G14">
        <v>2.5723E-3</v>
      </c>
      <c r="H14">
        <v>3.7756E-3</v>
      </c>
      <c r="I14">
        <v>6.0666000000000001E-3</v>
      </c>
      <c r="J14">
        <v>1.01942E-2</v>
      </c>
      <c r="K14">
        <v>1.8774599999999999E-2</v>
      </c>
      <c r="L14">
        <v>3.5414599999999997E-2</v>
      </c>
      <c r="M14">
        <v>6.9556099999999996E-2</v>
      </c>
      <c r="N14">
        <v>0.13678100000000001</v>
      </c>
      <c r="O14">
        <v>0.27324500000000002</v>
      </c>
      <c r="P14">
        <v>0.54745100000000002</v>
      </c>
      <c r="Q14">
        <v>5.2481000000000003E-3</v>
      </c>
      <c r="R14">
        <v>1.0925799999999999E-2</v>
      </c>
      <c r="S14">
        <v>2.2102500000000001E-2</v>
      </c>
      <c r="T14">
        <v>4.2233100000000003E-2</v>
      </c>
      <c r="U14">
        <v>8.4299700000000005E-2</v>
      </c>
      <c r="V14">
        <v>0.168713</v>
      </c>
      <c r="W14">
        <v>0.33749699999999999</v>
      </c>
      <c r="X14">
        <v>0.68515099999999995</v>
      </c>
      <c r="Y14">
        <v>1.36612</v>
      </c>
      <c r="Z14">
        <v>2.6853500000000001</v>
      </c>
      <c r="AA14">
        <v>5.3632900000000001</v>
      </c>
      <c r="AB14">
        <v>1.2668E-3</v>
      </c>
      <c r="AC14">
        <v>1.3845000000000001E-3</v>
      </c>
      <c r="AD14">
        <v>1.2392E-3</v>
      </c>
      <c r="AE14">
        <v>1.524E-3</v>
      </c>
      <c r="AF14">
        <v>1.4521E-3</v>
      </c>
      <c r="AG14">
        <v>1.6364000000000001E-3</v>
      </c>
      <c r="AH14">
        <v>2.6069000000000001E-3</v>
      </c>
      <c r="AI14">
        <v>3.8498E-3</v>
      </c>
      <c r="AJ14">
        <v>6.4224E-3</v>
      </c>
      <c r="AK14">
        <v>1.18396E-2</v>
      </c>
      <c r="AL14">
        <v>2.20407E-2</v>
      </c>
      <c r="AM14">
        <v>4.2659999999999997E-2</v>
      </c>
      <c r="AN14">
        <v>8.4704000000000002E-2</v>
      </c>
      <c r="AO14">
        <v>0.16788800000000001</v>
      </c>
      <c r="AP14">
        <v>0.33858199999999999</v>
      </c>
      <c r="AQ14">
        <v>0.67544899999999997</v>
      </c>
      <c r="AR14">
        <v>9.5060000000000006E-3</v>
      </c>
      <c r="AS14">
        <v>1.9265899999999999E-2</v>
      </c>
      <c r="AT14">
        <v>3.9204999999999997E-2</v>
      </c>
      <c r="AU14">
        <v>7.7466800000000002E-2</v>
      </c>
      <c r="AV14">
        <v>0.154032</v>
      </c>
      <c r="AW14">
        <v>0.31310500000000002</v>
      </c>
      <c r="AX14">
        <v>0.59492900000000004</v>
      </c>
      <c r="AY14">
        <v>1.2477499999999999</v>
      </c>
      <c r="AZ14">
        <v>2.45811</v>
      </c>
      <c r="BA14">
        <v>4.9169799999999997</v>
      </c>
      <c r="BB14">
        <v>9.8778799999999993</v>
      </c>
    </row>
    <row r="15" spans="1:54" x14ac:dyDescent="0.25">
      <c r="A15">
        <v>1.7133999999999999E-3</v>
      </c>
      <c r="B15">
        <v>1.7449E-3</v>
      </c>
      <c r="C15">
        <v>1.9047999999999999E-3</v>
      </c>
      <c r="D15">
        <v>1.691E-3</v>
      </c>
      <c r="E15">
        <v>1.8389000000000001E-3</v>
      </c>
      <c r="F15">
        <v>2.1673999999999999E-3</v>
      </c>
      <c r="G15">
        <v>2.7774000000000002E-3</v>
      </c>
      <c r="H15">
        <v>4.1399000000000002E-3</v>
      </c>
      <c r="I15">
        <v>6.0023999999999997E-3</v>
      </c>
      <c r="J15">
        <v>1.0248E-2</v>
      </c>
      <c r="K15">
        <v>1.8649099999999998E-2</v>
      </c>
      <c r="L15">
        <v>3.5451299999999998E-2</v>
      </c>
      <c r="M15">
        <v>6.9402699999999998E-2</v>
      </c>
      <c r="N15">
        <v>0.13682800000000001</v>
      </c>
      <c r="O15">
        <v>0.27330300000000002</v>
      </c>
      <c r="P15">
        <v>0.54759500000000005</v>
      </c>
      <c r="Q15">
        <v>5.3438000000000001E-3</v>
      </c>
      <c r="R15">
        <v>1.1194000000000001E-2</v>
      </c>
      <c r="S15">
        <v>2.1240599999999998E-2</v>
      </c>
      <c r="T15">
        <v>4.23013E-2</v>
      </c>
      <c r="U15">
        <v>8.4168999999999994E-2</v>
      </c>
      <c r="V15">
        <v>0.171512</v>
      </c>
      <c r="W15">
        <v>0.33838200000000002</v>
      </c>
      <c r="X15">
        <v>0.67900400000000005</v>
      </c>
      <c r="Y15">
        <v>1.3447100000000001</v>
      </c>
      <c r="Z15">
        <v>2.7093699999999998</v>
      </c>
      <c r="AA15">
        <v>5.5045700000000002</v>
      </c>
      <c r="AB15">
        <v>1.2635000000000001E-3</v>
      </c>
      <c r="AC15">
        <v>1.2998E-3</v>
      </c>
      <c r="AD15">
        <v>1.2202999999999999E-3</v>
      </c>
      <c r="AE15">
        <v>1.3561000000000001E-3</v>
      </c>
      <c r="AF15">
        <v>1.3979000000000001E-3</v>
      </c>
      <c r="AG15">
        <v>1.7015999999999999E-3</v>
      </c>
      <c r="AH15">
        <v>2.5190999999999998E-3</v>
      </c>
      <c r="AI15">
        <v>3.7989999999999999E-3</v>
      </c>
      <c r="AJ15">
        <v>6.6227999999999999E-3</v>
      </c>
      <c r="AK15">
        <v>1.18342E-2</v>
      </c>
      <c r="AL15">
        <v>2.21272E-2</v>
      </c>
      <c r="AM15">
        <v>4.2791599999999999E-2</v>
      </c>
      <c r="AN15">
        <v>8.4629599999999999E-2</v>
      </c>
      <c r="AO15">
        <v>0.167828</v>
      </c>
      <c r="AP15">
        <v>0.33856999999999998</v>
      </c>
      <c r="AQ15">
        <v>0.67550900000000003</v>
      </c>
      <c r="AR15">
        <v>1.1146700000000001E-2</v>
      </c>
      <c r="AS15">
        <v>1.97349E-2</v>
      </c>
      <c r="AT15">
        <v>3.9443300000000001E-2</v>
      </c>
      <c r="AU15">
        <v>7.9547800000000002E-2</v>
      </c>
      <c r="AV15">
        <v>0.15589700000000001</v>
      </c>
      <c r="AW15">
        <v>0.29735299999999998</v>
      </c>
      <c r="AX15">
        <v>0.60571299999999995</v>
      </c>
      <c r="AY15">
        <v>1.2389600000000001</v>
      </c>
      <c r="AZ15">
        <v>2.4475899999999999</v>
      </c>
      <c r="BA15">
        <v>4.9062400000000004</v>
      </c>
      <c r="BB15">
        <v>9.7444000000000006</v>
      </c>
    </row>
    <row r="16" spans="1:54" x14ac:dyDescent="0.25">
      <c r="A16">
        <v>1.6737E-3</v>
      </c>
      <c r="B16">
        <v>1.8006000000000001E-3</v>
      </c>
      <c r="C16">
        <v>1.7672E-3</v>
      </c>
      <c r="D16">
        <v>1.6333999999999999E-3</v>
      </c>
      <c r="E16">
        <v>1.704E-3</v>
      </c>
      <c r="F16">
        <v>2.2428999999999999E-3</v>
      </c>
      <c r="G16">
        <v>2.7144000000000001E-3</v>
      </c>
      <c r="H16">
        <v>3.9164999999999998E-3</v>
      </c>
      <c r="I16">
        <v>6.0946000000000004E-3</v>
      </c>
      <c r="J16">
        <v>1.0206399999999999E-2</v>
      </c>
      <c r="K16">
        <v>1.8735999999999999E-2</v>
      </c>
      <c r="L16">
        <v>3.5495600000000002E-2</v>
      </c>
      <c r="M16">
        <v>6.9461300000000004E-2</v>
      </c>
      <c r="N16">
        <v>0.13697000000000001</v>
      </c>
      <c r="O16">
        <v>0.27327899999999999</v>
      </c>
      <c r="P16">
        <v>0.54759599999999997</v>
      </c>
      <c r="Q16">
        <v>5.2058E-3</v>
      </c>
      <c r="R16">
        <v>1.1113899999999999E-2</v>
      </c>
      <c r="S16">
        <v>2.1934200000000001E-2</v>
      </c>
      <c r="T16">
        <v>4.28546E-2</v>
      </c>
      <c r="U16">
        <v>8.6139499999999994E-2</v>
      </c>
      <c r="V16">
        <v>0.16875399999999999</v>
      </c>
      <c r="W16">
        <v>0.33697300000000002</v>
      </c>
      <c r="X16">
        <v>0.65786100000000003</v>
      </c>
      <c r="Y16">
        <v>1.3665799999999999</v>
      </c>
      <c r="Z16">
        <v>2.6888700000000001</v>
      </c>
      <c r="AA16">
        <v>5.4133800000000001</v>
      </c>
      <c r="AB16">
        <v>1.4311E-3</v>
      </c>
      <c r="AC16">
        <v>1.2872999999999999E-3</v>
      </c>
      <c r="AD16">
        <v>1.2301E-3</v>
      </c>
      <c r="AE16">
        <v>1.4942E-3</v>
      </c>
      <c r="AF16">
        <v>1.4450000000000001E-3</v>
      </c>
      <c r="AG16">
        <v>1.7741E-3</v>
      </c>
      <c r="AH16">
        <v>2.6508999999999999E-3</v>
      </c>
      <c r="AI16">
        <v>3.8040000000000001E-3</v>
      </c>
      <c r="AJ16">
        <v>6.5066000000000004E-3</v>
      </c>
      <c r="AK16">
        <v>1.1946999999999999E-2</v>
      </c>
      <c r="AL16">
        <v>2.2092000000000001E-2</v>
      </c>
      <c r="AM16">
        <v>4.29497E-2</v>
      </c>
      <c r="AN16">
        <v>8.4756999999999999E-2</v>
      </c>
      <c r="AO16">
        <v>0.16792199999999999</v>
      </c>
      <c r="AP16">
        <v>0.33856599999999998</v>
      </c>
      <c r="AQ16">
        <v>0.67541700000000005</v>
      </c>
      <c r="AR16">
        <v>1.01942E-2</v>
      </c>
      <c r="AS16">
        <v>1.9209899999999999E-2</v>
      </c>
      <c r="AT16">
        <v>3.8737500000000001E-2</v>
      </c>
      <c r="AU16">
        <v>7.7033599999999994E-2</v>
      </c>
      <c r="AV16">
        <v>0.151699</v>
      </c>
      <c r="AW16">
        <v>0.30403599999999997</v>
      </c>
      <c r="AX16">
        <v>0.61499899999999996</v>
      </c>
      <c r="AY16">
        <v>1.25322</v>
      </c>
      <c r="AZ16">
        <v>2.4668299999999999</v>
      </c>
      <c r="BA16">
        <v>4.9130500000000001</v>
      </c>
      <c r="BB16">
        <v>9.8461400000000001</v>
      </c>
    </row>
    <row r="17" spans="1:54" x14ac:dyDescent="0.25">
      <c r="A17">
        <v>1.8847E-3</v>
      </c>
      <c r="B17">
        <v>1.7910999999999999E-3</v>
      </c>
      <c r="C17">
        <v>1.6733E-3</v>
      </c>
      <c r="D17">
        <v>1.6582999999999999E-3</v>
      </c>
      <c r="E17">
        <v>1.8063E-3</v>
      </c>
      <c r="F17">
        <v>2.6932000000000002E-3</v>
      </c>
      <c r="G17">
        <v>2.7255999999999999E-3</v>
      </c>
      <c r="H17">
        <v>3.9142999999999999E-3</v>
      </c>
      <c r="I17">
        <v>6.1983000000000003E-3</v>
      </c>
      <c r="J17">
        <v>1.01984E-2</v>
      </c>
      <c r="K17">
        <v>1.86249E-2</v>
      </c>
      <c r="L17">
        <v>3.5548799999999998E-2</v>
      </c>
      <c r="M17">
        <v>6.9393999999999997E-2</v>
      </c>
      <c r="N17">
        <v>0.13681299999999999</v>
      </c>
      <c r="O17">
        <v>0.27323199999999997</v>
      </c>
      <c r="P17">
        <v>0.54767900000000003</v>
      </c>
      <c r="Q17">
        <v>5.2902000000000001E-3</v>
      </c>
      <c r="R17">
        <v>1.0629899999999999E-2</v>
      </c>
      <c r="S17">
        <v>2.11586E-2</v>
      </c>
      <c r="T17">
        <v>4.2606900000000003E-2</v>
      </c>
      <c r="U17">
        <v>8.2915299999999997E-2</v>
      </c>
      <c r="V17">
        <v>0.16833200000000001</v>
      </c>
      <c r="W17">
        <v>0.34627400000000003</v>
      </c>
      <c r="X17">
        <v>0.67684999999999995</v>
      </c>
      <c r="Y17">
        <v>1.36222</v>
      </c>
      <c r="Z17">
        <v>2.7194500000000001</v>
      </c>
      <c r="AA17">
        <v>5.3837400000000004</v>
      </c>
      <c r="AB17">
        <v>1.2625E-3</v>
      </c>
      <c r="AC17">
        <v>1.3663E-3</v>
      </c>
      <c r="AD17">
        <v>1.3025000000000001E-3</v>
      </c>
      <c r="AE17">
        <v>1.4685E-3</v>
      </c>
      <c r="AF17">
        <v>1.4122E-3</v>
      </c>
      <c r="AG17">
        <v>1.6643999999999999E-3</v>
      </c>
      <c r="AH17">
        <v>2.6143999999999998E-3</v>
      </c>
      <c r="AI17">
        <v>3.9801000000000003E-3</v>
      </c>
      <c r="AJ17">
        <v>6.5351000000000003E-3</v>
      </c>
      <c r="AK17">
        <v>1.17178E-2</v>
      </c>
      <c r="AL17">
        <v>2.2024800000000001E-2</v>
      </c>
      <c r="AM17">
        <v>4.2862600000000001E-2</v>
      </c>
      <c r="AN17">
        <v>8.4554500000000005E-2</v>
      </c>
      <c r="AO17">
        <v>0.16780100000000001</v>
      </c>
      <c r="AP17">
        <v>0.33853100000000003</v>
      </c>
      <c r="AQ17">
        <v>0.67530000000000001</v>
      </c>
      <c r="AR17">
        <v>1.11237E-2</v>
      </c>
      <c r="AS17">
        <v>1.9281E-2</v>
      </c>
      <c r="AT17">
        <v>3.85671E-2</v>
      </c>
      <c r="AU17">
        <v>7.7460399999999999E-2</v>
      </c>
      <c r="AV17">
        <v>0.154533</v>
      </c>
      <c r="AW17">
        <v>0.31685400000000002</v>
      </c>
      <c r="AX17">
        <v>0.598993</v>
      </c>
      <c r="AY17">
        <v>1.24089</v>
      </c>
      <c r="AZ17">
        <v>2.4580700000000002</v>
      </c>
      <c r="BA17">
        <v>4.9625599999999999</v>
      </c>
      <c r="BB17">
        <v>9.7682699999999993</v>
      </c>
    </row>
    <row r="18" spans="1:54" x14ac:dyDescent="0.25">
      <c r="A18">
        <v>1.9881E-3</v>
      </c>
      <c r="B18">
        <v>1.6715E-3</v>
      </c>
      <c r="C18">
        <v>1.6492E-3</v>
      </c>
      <c r="D18">
        <v>1.6467000000000001E-3</v>
      </c>
      <c r="E18">
        <v>1.7478999999999999E-3</v>
      </c>
      <c r="F18">
        <v>3.6251E-3</v>
      </c>
      <c r="G18">
        <v>2.6729000000000002E-3</v>
      </c>
      <c r="H18">
        <v>3.7740999999999999E-3</v>
      </c>
      <c r="I18">
        <v>6.0312999999999999E-3</v>
      </c>
      <c r="J18">
        <v>1.02504E-2</v>
      </c>
      <c r="K18">
        <v>1.8884000000000001E-2</v>
      </c>
      <c r="L18">
        <v>3.5907099999999997E-2</v>
      </c>
      <c r="M18">
        <v>6.9378099999999998E-2</v>
      </c>
      <c r="N18">
        <v>0.13689499999999999</v>
      </c>
      <c r="O18">
        <v>0.27340500000000001</v>
      </c>
      <c r="P18">
        <v>0.54764999999999997</v>
      </c>
      <c r="Q18">
        <v>5.3836999999999999E-3</v>
      </c>
      <c r="R18">
        <v>1.07294E-2</v>
      </c>
      <c r="S18">
        <v>2.0827600000000002E-2</v>
      </c>
      <c r="T18">
        <v>4.4879700000000002E-2</v>
      </c>
      <c r="U18">
        <v>9.3149399999999993E-2</v>
      </c>
      <c r="V18">
        <v>0.16966800000000001</v>
      </c>
      <c r="W18">
        <v>0.33456900000000001</v>
      </c>
      <c r="X18">
        <v>0.65861700000000001</v>
      </c>
      <c r="Y18">
        <v>1.34189</v>
      </c>
      <c r="Z18">
        <v>2.69977</v>
      </c>
      <c r="AA18">
        <v>5.4530900000000004</v>
      </c>
      <c r="AB18">
        <v>1.2786E-3</v>
      </c>
      <c r="AC18">
        <v>1.2796000000000001E-3</v>
      </c>
      <c r="AD18">
        <v>3.0701000000000001E-3</v>
      </c>
      <c r="AE18">
        <v>1.4154E-3</v>
      </c>
      <c r="AF18">
        <v>1.4258000000000001E-3</v>
      </c>
      <c r="AG18">
        <v>1.7067E-3</v>
      </c>
      <c r="AH18">
        <v>2.4794999999999999E-3</v>
      </c>
      <c r="AI18">
        <v>3.8758999999999998E-3</v>
      </c>
      <c r="AJ18">
        <v>6.6020999999999996E-3</v>
      </c>
      <c r="AK18">
        <v>1.1653E-2</v>
      </c>
      <c r="AL18">
        <v>2.2164099999999999E-2</v>
      </c>
      <c r="AM18">
        <v>4.28645E-2</v>
      </c>
      <c r="AN18">
        <v>8.47353E-2</v>
      </c>
      <c r="AO18">
        <v>0.168409</v>
      </c>
      <c r="AP18">
        <v>0.33851999999999999</v>
      </c>
      <c r="AQ18">
        <v>0.67530900000000005</v>
      </c>
      <c r="AR18">
        <v>1.04613E-2</v>
      </c>
      <c r="AS18">
        <v>2.0720700000000002E-2</v>
      </c>
      <c r="AT18">
        <v>4.1174799999999998E-2</v>
      </c>
      <c r="AU18">
        <v>7.8504500000000005E-2</v>
      </c>
      <c r="AV18">
        <v>0.158632</v>
      </c>
      <c r="AW18">
        <v>0.29614099999999999</v>
      </c>
      <c r="AX18">
        <v>0.607711</v>
      </c>
      <c r="AY18">
        <v>1.1949399999999999</v>
      </c>
      <c r="AZ18">
        <v>2.4259400000000002</v>
      </c>
      <c r="BA18">
        <v>4.8705699999999998</v>
      </c>
      <c r="BB18">
        <v>10.0151</v>
      </c>
    </row>
    <row r="19" spans="1:54" x14ac:dyDescent="0.25">
      <c r="A19">
        <v>1.7646000000000001E-3</v>
      </c>
      <c r="B19">
        <v>1.7558000000000001E-3</v>
      </c>
      <c r="C19">
        <v>1.5824999999999999E-3</v>
      </c>
      <c r="D19">
        <v>1.6038999999999999E-3</v>
      </c>
      <c r="E19">
        <v>1.7097E-3</v>
      </c>
      <c r="F19">
        <v>2.4217000000000002E-3</v>
      </c>
      <c r="G19">
        <v>2.6668999999999998E-3</v>
      </c>
      <c r="H19">
        <v>4.0423999999999998E-3</v>
      </c>
      <c r="I19">
        <v>5.9661999999999996E-3</v>
      </c>
      <c r="J19">
        <v>1.0362700000000001E-2</v>
      </c>
      <c r="K19">
        <v>1.8800399999999998E-2</v>
      </c>
      <c r="L19">
        <v>3.5622399999999999E-2</v>
      </c>
      <c r="M19">
        <v>6.9541699999999998E-2</v>
      </c>
      <c r="N19">
        <v>0.137044</v>
      </c>
      <c r="O19">
        <v>0.27341599999999999</v>
      </c>
      <c r="P19">
        <v>0.54766099999999995</v>
      </c>
      <c r="Q19">
        <v>5.2237999999999998E-3</v>
      </c>
      <c r="R19">
        <v>1.0677799999999999E-2</v>
      </c>
      <c r="S19">
        <v>2.1308899999999999E-2</v>
      </c>
      <c r="T19">
        <v>4.5411100000000003E-2</v>
      </c>
      <c r="U19">
        <v>8.97535E-2</v>
      </c>
      <c r="V19">
        <v>0.168515</v>
      </c>
      <c r="W19">
        <v>0.33809</v>
      </c>
      <c r="X19">
        <v>0.65791200000000005</v>
      </c>
      <c r="Y19">
        <v>1.3808400000000001</v>
      </c>
      <c r="Z19">
        <v>2.7021799999999998</v>
      </c>
      <c r="AA19">
        <v>5.3753399999999996</v>
      </c>
      <c r="AB19">
        <v>1.2247E-3</v>
      </c>
      <c r="AC19">
        <v>1.2466000000000001E-3</v>
      </c>
      <c r="AD19">
        <v>1.4131E-3</v>
      </c>
      <c r="AE19">
        <v>1.3143E-3</v>
      </c>
      <c r="AF19">
        <v>1.7778E-3</v>
      </c>
      <c r="AG19">
        <v>1.6658E-3</v>
      </c>
      <c r="AH19">
        <v>2.5070000000000001E-3</v>
      </c>
      <c r="AI19">
        <v>4.0261999999999997E-3</v>
      </c>
      <c r="AJ19">
        <v>6.5281000000000002E-3</v>
      </c>
      <c r="AK19">
        <v>1.19677E-2</v>
      </c>
      <c r="AL19">
        <v>2.2273000000000001E-2</v>
      </c>
      <c r="AM19">
        <v>4.2821199999999997E-2</v>
      </c>
      <c r="AN19">
        <v>8.4711099999999998E-2</v>
      </c>
      <c r="AO19">
        <v>0.16921700000000001</v>
      </c>
      <c r="AP19">
        <v>0.33860699999999999</v>
      </c>
      <c r="AQ19">
        <v>0.67546899999999999</v>
      </c>
      <c r="AR19">
        <v>1.02763E-2</v>
      </c>
      <c r="AS19">
        <v>2.0763899999999998E-2</v>
      </c>
      <c r="AT19">
        <v>4.5786899999999998E-2</v>
      </c>
      <c r="AU19">
        <v>7.7213400000000001E-2</v>
      </c>
      <c r="AV19">
        <v>0.15451300000000001</v>
      </c>
      <c r="AW19">
        <v>0.29651100000000002</v>
      </c>
      <c r="AX19">
        <v>0.61617900000000003</v>
      </c>
      <c r="AY19">
        <v>1.2601899999999999</v>
      </c>
      <c r="AZ19">
        <v>2.4765700000000002</v>
      </c>
      <c r="BA19">
        <v>4.8785800000000004</v>
      </c>
      <c r="BB19">
        <v>9.9026800000000001</v>
      </c>
    </row>
    <row r="20" spans="1:54" x14ac:dyDescent="0.25">
      <c r="A20">
        <v>1.7244999999999999E-3</v>
      </c>
      <c r="B20">
        <v>1.8140999999999999E-3</v>
      </c>
      <c r="C20">
        <v>1.7577000000000001E-3</v>
      </c>
      <c r="D20">
        <v>1.7960999999999999E-3</v>
      </c>
      <c r="E20">
        <v>1.7428999999999999E-3</v>
      </c>
      <c r="F20">
        <v>2.2117999999999999E-3</v>
      </c>
      <c r="G20">
        <v>2.6358000000000002E-3</v>
      </c>
      <c r="H20">
        <v>3.9627000000000004E-3</v>
      </c>
      <c r="I20">
        <v>5.9516999999999999E-3</v>
      </c>
      <c r="J20">
        <v>1.04682E-2</v>
      </c>
      <c r="K20">
        <v>1.88205E-2</v>
      </c>
      <c r="L20">
        <v>3.5666000000000003E-2</v>
      </c>
      <c r="M20">
        <v>6.9575300000000007E-2</v>
      </c>
      <c r="N20">
        <v>0.136821</v>
      </c>
      <c r="O20">
        <v>0.27333800000000003</v>
      </c>
      <c r="P20">
        <v>0.54733799999999999</v>
      </c>
      <c r="Q20">
        <v>5.3556999999999997E-3</v>
      </c>
      <c r="R20">
        <v>1.06459E-2</v>
      </c>
      <c r="S20">
        <v>2.1335900000000001E-2</v>
      </c>
      <c r="T20">
        <v>4.3346900000000001E-2</v>
      </c>
      <c r="U20">
        <v>8.4717399999999998E-2</v>
      </c>
      <c r="V20">
        <v>0.166711</v>
      </c>
      <c r="W20">
        <v>0.33876299999999998</v>
      </c>
      <c r="X20">
        <v>0.67384599999999995</v>
      </c>
      <c r="Y20">
        <v>1.3531599999999999</v>
      </c>
      <c r="Z20">
        <v>2.7083599999999999</v>
      </c>
      <c r="AA20">
        <v>5.3879200000000003</v>
      </c>
      <c r="AB20">
        <v>1.2156999999999999E-3</v>
      </c>
      <c r="AC20">
        <v>1.2665E-3</v>
      </c>
      <c r="AD20">
        <v>1.2496E-3</v>
      </c>
      <c r="AE20">
        <v>1.2879E-3</v>
      </c>
      <c r="AF20">
        <v>1.5487000000000001E-3</v>
      </c>
      <c r="AG20">
        <v>1.7524999999999999E-3</v>
      </c>
      <c r="AH20">
        <v>2.6110999999999999E-3</v>
      </c>
      <c r="AI20">
        <v>4.0328999999999999E-3</v>
      </c>
      <c r="AJ20">
        <v>6.6172000000000002E-3</v>
      </c>
      <c r="AK20">
        <v>1.16223E-2</v>
      </c>
      <c r="AL20">
        <v>2.22078E-2</v>
      </c>
      <c r="AM20">
        <v>4.2924900000000002E-2</v>
      </c>
      <c r="AN20">
        <v>8.4790900000000002E-2</v>
      </c>
      <c r="AO20">
        <v>0.169043</v>
      </c>
      <c r="AP20">
        <v>0.33877200000000002</v>
      </c>
      <c r="AQ20">
        <v>0.67520899999999995</v>
      </c>
      <c r="AR20">
        <v>9.8446999999999996E-3</v>
      </c>
      <c r="AS20">
        <v>1.8957100000000001E-2</v>
      </c>
      <c r="AT20">
        <v>3.9888E-2</v>
      </c>
      <c r="AU20">
        <v>8.2420400000000005E-2</v>
      </c>
      <c r="AV20">
        <v>0.15439600000000001</v>
      </c>
      <c r="AW20">
        <v>0.30113299999999998</v>
      </c>
      <c r="AX20">
        <v>0.62087999999999999</v>
      </c>
      <c r="AY20">
        <v>1.2210000000000001</v>
      </c>
      <c r="AZ20">
        <v>2.4458700000000002</v>
      </c>
      <c r="BA20">
        <v>4.8899299999999997</v>
      </c>
      <c r="BB20">
        <v>9.7628199999999996</v>
      </c>
    </row>
    <row r="21" spans="1:54" x14ac:dyDescent="0.25">
      <c r="A21">
        <v>1.6711E-3</v>
      </c>
      <c r="B21">
        <v>1.6576E-3</v>
      </c>
      <c r="C21">
        <v>1.8163000000000001E-3</v>
      </c>
      <c r="D21">
        <v>2.1293000000000002E-3</v>
      </c>
      <c r="E21">
        <v>1.7466999999999999E-3</v>
      </c>
      <c r="F21">
        <v>2.6989000000000002E-3</v>
      </c>
      <c r="G21">
        <v>2.6611999999999999E-3</v>
      </c>
      <c r="H21">
        <v>3.852E-3</v>
      </c>
      <c r="I21">
        <v>5.9505000000000001E-3</v>
      </c>
      <c r="J21">
        <v>1.0156800000000001E-2</v>
      </c>
      <c r="K21">
        <v>1.8531499999999999E-2</v>
      </c>
      <c r="L21">
        <v>3.5378600000000003E-2</v>
      </c>
      <c r="M21">
        <v>6.9281099999999998E-2</v>
      </c>
      <c r="N21">
        <v>0.13686200000000001</v>
      </c>
      <c r="O21">
        <v>0.27331499999999997</v>
      </c>
      <c r="P21">
        <v>0.54733399999999999</v>
      </c>
      <c r="Q21">
        <v>5.0531999999999999E-3</v>
      </c>
      <c r="R21">
        <v>1.0665300000000001E-2</v>
      </c>
      <c r="S21">
        <v>2.21032E-2</v>
      </c>
      <c r="T21">
        <v>4.2682299999999999E-2</v>
      </c>
      <c r="U21">
        <v>8.5162399999999999E-2</v>
      </c>
      <c r="V21">
        <v>0.17594899999999999</v>
      </c>
      <c r="W21">
        <v>0.339252</v>
      </c>
      <c r="X21">
        <v>0.68695700000000004</v>
      </c>
      <c r="Y21">
        <v>1.36524</v>
      </c>
      <c r="Z21">
        <v>2.7019299999999999</v>
      </c>
      <c r="AA21">
        <v>5.3949600000000002</v>
      </c>
      <c r="AB21">
        <v>1.2607E-3</v>
      </c>
      <c r="AC21">
        <v>1.2130999999999999E-3</v>
      </c>
      <c r="AD21">
        <v>1.2463999999999999E-3</v>
      </c>
      <c r="AE21">
        <v>1.2668E-3</v>
      </c>
      <c r="AF21">
        <v>1.41E-3</v>
      </c>
      <c r="AG21">
        <v>1.7030999999999999E-3</v>
      </c>
      <c r="AH21">
        <v>2.5495000000000001E-3</v>
      </c>
      <c r="AI21">
        <v>3.8517E-3</v>
      </c>
      <c r="AJ21">
        <v>6.5202000000000003E-3</v>
      </c>
      <c r="AK21">
        <v>1.26672E-2</v>
      </c>
      <c r="AL21">
        <v>2.21528E-2</v>
      </c>
      <c r="AM21">
        <v>4.2850600000000003E-2</v>
      </c>
      <c r="AN21">
        <v>8.4828700000000007E-2</v>
      </c>
      <c r="AO21">
        <v>0.169104</v>
      </c>
      <c r="AP21">
        <v>0.33844200000000002</v>
      </c>
      <c r="AQ21">
        <v>0.67522300000000002</v>
      </c>
      <c r="AR21">
        <v>9.5552999999999992E-3</v>
      </c>
      <c r="AS21">
        <v>1.9499699999999998E-2</v>
      </c>
      <c r="AT21">
        <v>3.9995099999999999E-2</v>
      </c>
      <c r="AU21">
        <v>8.00376E-2</v>
      </c>
      <c r="AV21">
        <v>0.14940000000000001</v>
      </c>
      <c r="AW21">
        <v>0.31192500000000001</v>
      </c>
      <c r="AX21">
        <v>0.610738</v>
      </c>
      <c r="AY21">
        <v>1.21166</v>
      </c>
      <c r="AZ21">
        <v>2.42048</v>
      </c>
      <c r="BA21">
        <v>4.8847800000000001</v>
      </c>
      <c r="BB21">
        <v>9.7625600000000006</v>
      </c>
    </row>
    <row r="22" spans="1:54" x14ac:dyDescent="0.25">
      <c r="A22">
        <v>1.6930999999999999E-3</v>
      </c>
      <c r="B22">
        <v>1.6992000000000001E-3</v>
      </c>
      <c r="C22">
        <v>1.8324999999999999E-3</v>
      </c>
      <c r="D22">
        <v>1.9667999999999999E-3</v>
      </c>
      <c r="E22">
        <v>1.9015E-3</v>
      </c>
      <c r="F22">
        <v>2.9486999999999998E-3</v>
      </c>
      <c r="G22">
        <v>2.6143999999999998E-3</v>
      </c>
      <c r="H22">
        <v>3.8479E-3</v>
      </c>
      <c r="I22">
        <v>6.0752000000000002E-3</v>
      </c>
      <c r="J22">
        <v>1.03009E-2</v>
      </c>
      <c r="K22">
        <v>1.8683700000000001E-2</v>
      </c>
      <c r="L22">
        <v>3.5466200000000003E-2</v>
      </c>
      <c r="M22">
        <v>6.9266400000000006E-2</v>
      </c>
      <c r="N22">
        <v>0.136853</v>
      </c>
      <c r="O22">
        <v>0.27330599999999999</v>
      </c>
      <c r="P22">
        <v>0.54740299999999997</v>
      </c>
      <c r="Q22">
        <v>5.3162000000000001E-3</v>
      </c>
      <c r="R22">
        <v>1.0613600000000001E-2</v>
      </c>
      <c r="S22">
        <v>2.1309700000000001E-2</v>
      </c>
      <c r="T22">
        <v>4.3260199999999999E-2</v>
      </c>
      <c r="U22">
        <v>8.5203399999999999E-2</v>
      </c>
      <c r="V22">
        <v>0.16858999999999999</v>
      </c>
      <c r="W22">
        <v>0.33052599999999999</v>
      </c>
      <c r="X22">
        <v>0.67779599999999995</v>
      </c>
      <c r="Y22">
        <v>1.3716200000000001</v>
      </c>
      <c r="Z22">
        <v>2.7254700000000001</v>
      </c>
      <c r="AA22">
        <v>5.3334999999999999</v>
      </c>
      <c r="AB22">
        <v>1.2528999999999999E-3</v>
      </c>
      <c r="AC22">
        <v>1.2700999999999999E-3</v>
      </c>
      <c r="AD22">
        <v>1.2316E-3</v>
      </c>
      <c r="AE22">
        <v>1.2830000000000001E-3</v>
      </c>
      <c r="AF22">
        <v>1.4584999999999999E-3</v>
      </c>
      <c r="AG22">
        <v>1.6724999999999999E-3</v>
      </c>
      <c r="AH22">
        <v>2.5255E-3</v>
      </c>
      <c r="AI22">
        <v>3.8048999999999999E-3</v>
      </c>
      <c r="AJ22">
        <v>6.5062999999999996E-3</v>
      </c>
      <c r="AK22">
        <v>1.2156699999999999E-2</v>
      </c>
      <c r="AL22">
        <v>2.20576E-2</v>
      </c>
      <c r="AM22">
        <v>4.3010100000000002E-2</v>
      </c>
      <c r="AN22">
        <v>8.4914299999999998E-2</v>
      </c>
      <c r="AO22">
        <v>0.16909199999999999</v>
      </c>
      <c r="AP22">
        <v>0.33852599999999999</v>
      </c>
      <c r="AQ22">
        <v>0.67518299999999998</v>
      </c>
      <c r="AR22">
        <v>1.03309E-2</v>
      </c>
      <c r="AS22">
        <v>1.93838E-2</v>
      </c>
      <c r="AT22">
        <v>4.0153800000000003E-2</v>
      </c>
      <c r="AU22">
        <v>7.7025999999999997E-2</v>
      </c>
      <c r="AV22">
        <v>0.15559400000000001</v>
      </c>
      <c r="AW22">
        <v>0.30570599999999998</v>
      </c>
      <c r="AX22">
        <v>0.61475500000000005</v>
      </c>
      <c r="AY22">
        <v>1.2444299999999999</v>
      </c>
      <c r="AZ22">
        <v>2.4598300000000002</v>
      </c>
      <c r="BA22">
        <v>4.8972699999999998</v>
      </c>
      <c r="BB22">
        <v>9.9083500000000004</v>
      </c>
    </row>
    <row r="23" spans="1:54" x14ac:dyDescent="0.25">
      <c r="A23">
        <v>1.8289000000000001E-3</v>
      </c>
      <c r="B23">
        <v>1.6676E-3</v>
      </c>
      <c r="C23">
        <v>1.7002E-3</v>
      </c>
      <c r="D23">
        <v>2.2685000000000001E-3</v>
      </c>
      <c r="E23">
        <v>1.9275E-3</v>
      </c>
      <c r="F23">
        <v>3.1930000000000001E-3</v>
      </c>
      <c r="G23">
        <v>2.7410999999999998E-3</v>
      </c>
      <c r="H23">
        <v>4.0984000000000003E-3</v>
      </c>
      <c r="I23">
        <v>6.0479000000000002E-3</v>
      </c>
      <c r="J23">
        <v>1.02623E-2</v>
      </c>
      <c r="K23">
        <v>1.8589000000000001E-2</v>
      </c>
      <c r="L23">
        <v>3.54282E-2</v>
      </c>
      <c r="M23">
        <v>6.9472199999999998E-2</v>
      </c>
      <c r="N23">
        <v>0.136738</v>
      </c>
      <c r="O23">
        <v>0.27320499999999998</v>
      </c>
      <c r="P23">
        <v>0.54753200000000002</v>
      </c>
      <c r="Q23">
        <v>5.5170000000000002E-3</v>
      </c>
      <c r="R23">
        <v>1.1208600000000001E-2</v>
      </c>
      <c r="S23">
        <v>2.1277299999999999E-2</v>
      </c>
      <c r="T23">
        <v>4.5924300000000001E-2</v>
      </c>
      <c r="U23">
        <v>8.5596500000000006E-2</v>
      </c>
      <c r="V23">
        <v>0.16850899999999999</v>
      </c>
      <c r="W23">
        <v>0.33758300000000002</v>
      </c>
      <c r="X23">
        <v>0.67810999999999999</v>
      </c>
      <c r="Y23">
        <v>1.3680300000000001</v>
      </c>
      <c r="Z23">
        <v>2.6946599999999998</v>
      </c>
      <c r="AA23">
        <v>5.4094600000000002</v>
      </c>
      <c r="AB23">
        <v>1.2516000000000001E-3</v>
      </c>
      <c r="AC23">
        <v>1.2048E-3</v>
      </c>
      <c r="AD23">
        <v>1.2316E-3</v>
      </c>
      <c r="AE23">
        <v>1.3037000000000001E-3</v>
      </c>
      <c r="AF23">
        <v>1.4779000000000001E-3</v>
      </c>
      <c r="AG23">
        <v>1.7155E-3</v>
      </c>
      <c r="AH23">
        <v>2.4681999999999998E-3</v>
      </c>
      <c r="AI23">
        <v>3.82E-3</v>
      </c>
      <c r="AJ23">
        <v>6.5139000000000004E-3</v>
      </c>
      <c r="AK23">
        <v>1.17229E-2</v>
      </c>
      <c r="AL23">
        <v>2.2085500000000001E-2</v>
      </c>
      <c r="AM23">
        <v>4.2833499999999997E-2</v>
      </c>
      <c r="AN23">
        <v>8.4760199999999994E-2</v>
      </c>
      <c r="AO23">
        <v>0.168959</v>
      </c>
      <c r="AP23">
        <v>0.338588</v>
      </c>
      <c r="AQ23">
        <v>0.67525500000000005</v>
      </c>
      <c r="AR23">
        <v>9.3241999999999995E-3</v>
      </c>
      <c r="AS23">
        <v>1.9745599999999999E-2</v>
      </c>
      <c r="AT23">
        <v>3.9989200000000003E-2</v>
      </c>
      <c r="AU23">
        <v>7.7320200000000006E-2</v>
      </c>
      <c r="AV23">
        <v>0.15792500000000001</v>
      </c>
      <c r="AW23">
        <v>0.30398799999999998</v>
      </c>
      <c r="AX23">
        <v>0.613371</v>
      </c>
      <c r="AY23">
        <v>1.22827</v>
      </c>
      <c r="AZ23">
        <v>2.4584000000000001</v>
      </c>
      <c r="BA23">
        <v>5.0457999999999998</v>
      </c>
      <c r="BB23">
        <v>9.7843499999999999</v>
      </c>
    </row>
    <row r="24" spans="1:54" x14ac:dyDescent="0.25">
      <c r="A24">
        <v>1.7788999999999999E-3</v>
      </c>
      <c r="B24">
        <v>1.8952999999999999E-3</v>
      </c>
      <c r="C24">
        <v>1.9352E-3</v>
      </c>
      <c r="D24">
        <v>1.9756000000000001E-3</v>
      </c>
      <c r="E24">
        <v>1.6729E-3</v>
      </c>
      <c r="F24">
        <v>2.4188E-3</v>
      </c>
      <c r="G24">
        <v>2.5801999999999999E-3</v>
      </c>
      <c r="H24">
        <v>3.9620999999999996E-3</v>
      </c>
      <c r="I24">
        <v>6.0832999999999998E-3</v>
      </c>
      <c r="J24">
        <v>1.04291E-2</v>
      </c>
      <c r="K24">
        <v>1.8639800000000002E-2</v>
      </c>
      <c r="L24">
        <v>3.5619699999999997E-2</v>
      </c>
      <c r="M24">
        <v>6.9871199999999994E-2</v>
      </c>
      <c r="N24">
        <v>0.136791</v>
      </c>
      <c r="O24">
        <v>0.27340399999999998</v>
      </c>
      <c r="P24">
        <v>0.54778000000000004</v>
      </c>
      <c r="Q24">
        <v>5.3169000000000003E-3</v>
      </c>
      <c r="R24">
        <v>1.06861E-2</v>
      </c>
      <c r="S24">
        <v>2.1460799999999999E-2</v>
      </c>
      <c r="T24">
        <v>4.3116399999999999E-2</v>
      </c>
      <c r="U24">
        <v>8.7037500000000004E-2</v>
      </c>
      <c r="V24">
        <v>0.168743</v>
      </c>
      <c r="W24">
        <v>0.34142899999999998</v>
      </c>
      <c r="X24">
        <v>0.66276299999999999</v>
      </c>
      <c r="Y24">
        <v>1.3486400000000001</v>
      </c>
      <c r="Z24">
        <v>2.6933400000000001</v>
      </c>
      <c r="AA24">
        <v>5.3700799999999997</v>
      </c>
      <c r="AB24">
        <v>1.3655E-3</v>
      </c>
      <c r="AC24">
        <v>1.2006E-3</v>
      </c>
      <c r="AD24">
        <v>1.2144E-3</v>
      </c>
      <c r="AE24">
        <v>1.2727000000000001E-3</v>
      </c>
      <c r="AF24">
        <v>1.3649999999999999E-3</v>
      </c>
      <c r="AG24">
        <v>1.8196E-3</v>
      </c>
      <c r="AH24">
        <v>2.4350999999999999E-3</v>
      </c>
      <c r="AI24">
        <v>4.3391000000000002E-3</v>
      </c>
      <c r="AJ24">
        <v>6.5193999999999998E-3</v>
      </c>
      <c r="AK24">
        <v>1.17102E-2</v>
      </c>
      <c r="AL24">
        <v>2.2075999999999998E-2</v>
      </c>
      <c r="AM24">
        <v>4.2810399999999998E-2</v>
      </c>
      <c r="AN24">
        <v>8.4677100000000005E-2</v>
      </c>
      <c r="AO24">
        <v>0.16925200000000001</v>
      </c>
      <c r="AP24">
        <v>0.33851900000000001</v>
      </c>
      <c r="AQ24">
        <v>0.67544099999999996</v>
      </c>
      <c r="AR24">
        <v>9.5706000000000003E-3</v>
      </c>
      <c r="AS24">
        <v>1.9333099999999999E-2</v>
      </c>
      <c r="AT24">
        <v>4.2534099999999998E-2</v>
      </c>
      <c r="AU24">
        <v>7.6585500000000001E-2</v>
      </c>
      <c r="AV24">
        <v>0.15437799999999999</v>
      </c>
      <c r="AW24">
        <v>0.31664300000000001</v>
      </c>
      <c r="AX24">
        <v>0.623506</v>
      </c>
      <c r="AY24">
        <v>1.2580100000000001</v>
      </c>
      <c r="AZ24">
        <v>2.5626600000000002</v>
      </c>
      <c r="BA24">
        <v>5.0117099999999999</v>
      </c>
      <c r="BB24">
        <v>9.9158200000000001</v>
      </c>
    </row>
    <row r="25" spans="1:54" x14ac:dyDescent="0.25">
      <c r="A25">
        <v>1.787E-3</v>
      </c>
      <c r="B25">
        <v>1.7588E-3</v>
      </c>
      <c r="C25">
        <v>1.7512999999999999E-3</v>
      </c>
      <c r="D25">
        <v>1.7549E-3</v>
      </c>
      <c r="E25">
        <v>1.7802E-3</v>
      </c>
      <c r="F25">
        <v>2.3368999999999998E-3</v>
      </c>
      <c r="G25">
        <v>2.5538000000000002E-3</v>
      </c>
      <c r="H25">
        <v>3.8555999999999998E-3</v>
      </c>
      <c r="I25">
        <v>6.0873999999999998E-3</v>
      </c>
      <c r="J25">
        <v>1.0212199999999999E-2</v>
      </c>
      <c r="K25">
        <v>1.8563099999999999E-2</v>
      </c>
      <c r="L25">
        <v>3.5431499999999998E-2</v>
      </c>
      <c r="M25">
        <v>6.9559300000000004E-2</v>
      </c>
      <c r="N25">
        <v>0.13691700000000001</v>
      </c>
      <c r="O25">
        <v>0.27341100000000002</v>
      </c>
      <c r="P25">
        <v>0.54752599999999996</v>
      </c>
      <c r="Q25">
        <v>6.7020999999999999E-3</v>
      </c>
      <c r="R25">
        <v>1.05693E-2</v>
      </c>
      <c r="S25">
        <v>2.1368100000000001E-2</v>
      </c>
      <c r="T25">
        <v>4.38109E-2</v>
      </c>
      <c r="U25">
        <v>8.7697399999999995E-2</v>
      </c>
      <c r="V25">
        <v>0.16942099999999999</v>
      </c>
      <c r="W25">
        <v>0.34088000000000002</v>
      </c>
      <c r="X25">
        <v>0.664798</v>
      </c>
      <c r="Y25">
        <v>1.35833</v>
      </c>
      <c r="Z25">
        <v>2.72614</v>
      </c>
      <c r="AA25">
        <v>5.3965399999999999</v>
      </c>
      <c r="AB25">
        <v>1.2668E-3</v>
      </c>
      <c r="AC25">
        <v>1.232E-3</v>
      </c>
      <c r="AD25">
        <v>1.2271999999999999E-3</v>
      </c>
      <c r="AE25">
        <v>1.2852E-3</v>
      </c>
      <c r="AF25">
        <v>1.5177999999999999E-3</v>
      </c>
      <c r="AG25">
        <v>1.6355E-3</v>
      </c>
      <c r="AH25">
        <v>2.3827000000000002E-3</v>
      </c>
      <c r="AI25">
        <v>3.9360999999999997E-3</v>
      </c>
      <c r="AJ25">
        <v>6.4783000000000002E-3</v>
      </c>
      <c r="AK25">
        <v>1.17518E-2</v>
      </c>
      <c r="AL25">
        <v>2.1991299999999998E-2</v>
      </c>
      <c r="AM25">
        <v>4.29731E-2</v>
      </c>
      <c r="AN25">
        <v>8.4889800000000001E-2</v>
      </c>
      <c r="AO25">
        <v>0.169212</v>
      </c>
      <c r="AP25">
        <v>0.33856799999999998</v>
      </c>
      <c r="AQ25">
        <v>0.67527199999999998</v>
      </c>
      <c r="AR25">
        <v>1.02945E-2</v>
      </c>
      <c r="AS25">
        <v>2.1725299999999999E-2</v>
      </c>
      <c r="AT25">
        <v>4.1061100000000003E-2</v>
      </c>
      <c r="AU25">
        <v>7.5207599999999999E-2</v>
      </c>
      <c r="AV25">
        <v>0.15772700000000001</v>
      </c>
      <c r="AW25">
        <v>0.30375200000000002</v>
      </c>
      <c r="AX25">
        <v>0.614564</v>
      </c>
      <c r="AY25">
        <v>1.22289</v>
      </c>
      <c r="AZ25">
        <v>2.4442599999999999</v>
      </c>
      <c r="BA25">
        <v>4.8668899999999997</v>
      </c>
      <c r="BB25">
        <v>9.7946799999999996</v>
      </c>
    </row>
    <row r="26" spans="1:54" x14ac:dyDescent="0.25">
      <c r="A26">
        <v>1.7492E-3</v>
      </c>
      <c r="B26">
        <v>1.627E-3</v>
      </c>
      <c r="C26">
        <v>1.6073999999999999E-3</v>
      </c>
      <c r="D26">
        <v>1.694E-3</v>
      </c>
      <c r="E26">
        <v>1.7432000000000001E-3</v>
      </c>
      <c r="F26">
        <v>2.2629999999999998E-3</v>
      </c>
      <c r="G26">
        <v>2.8725000000000001E-3</v>
      </c>
      <c r="H26">
        <v>3.9678999999999999E-3</v>
      </c>
      <c r="I26">
        <v>5.9693999999999997E-3</v>
      </c>
      <c r="J26">
        <v>1.05901E-2</v>
      </c>
      <c r="K26">
        <v>1.8704999999999999E-2</v>
      </c>
      <c r="L26">
        <v>3.5674999999999998E-2</v>
      </c>
      <c r="M26">
        <v>6.9426699999999994E-2</v>
      </c>
      <c r="N26">
        <v>0.136737</v>
      </c>
      <c r="O26">
        <v>0.27329999999999999</v>
      </c>
      <c r="P26">
        <v>0.54748399999999997</v>
      </c>
      <c r="Q26">
        <v>6.0264999999999997E-3</v>
      </c>
      <c r="R26">
        <v>1.1380700000000001E-2</v>
      </c>
      <c r="S26">
        <v>2.1288999999999999E-2</v>
      </c>
      <c r="T26">
        <v>4.33266E-2</v>
      </c>
      <c r="U26">
        <v>8.5587800000000006E-2</v>
      </c>
      <c r="V26">
        <v>0.16924</v>
      </c>
      <c r="W26">
        <v>0.34218900000000002</v>
      </c>
      <c r="X26">
        <v>0.67800099999999996</v>
      </c>
      <c r="Y26">
        <v>1.34981</v>
      </c>
      <c r="Z26">
        <v>2.6799499999999998</v>
      </c>
      <c r="AA26">
        <v>5.38619</v>
      </c>
      <c r="AB26">
        <v>1.2128E-3</v>
      </c>
      <c r="AC26">
        <v>1.255E-3</v>
      </c>
      <c r="AD26">
        <v>1.2677000000000001E-3</v>
      </c>
      <c r="AE26">
        <v>1.2635999999999999E-3</v>
      </c>
      <c r="AF26">
        <v>1.3988E-3</v>
      </c>
      <c r="AG26">
        <v>1.6881999999999999E-3</v>
      </c>
      <c r="AH26">
        <v>2.5915999999999999E-3</v>
      </c>
      <c r="AI26">
        <v>3.9684999999999998E-3</v>
      </c>
      <c r="AJ26">
        <v>6.5798000000000002E-3</v>
      </c>
      <c r="AK26">
        <v>1.17979E-2</v>
      </c>
      <c r="AL26">
        <v>2.2044399999999999E-2</v>
      </c>
      <c r="AM26">
        <v>4.2988800000000001E-2</v>
      </c>
      <c r="AN26">
        <v>8.4903500000000007E-2</v>
      </c>
      <c r="AO26">
        <v>0.16911999999999999</v>
      </c>
      <c r="AP26">
        <v>0.33874799999999999</v>
      </c>
      <c r="AQ26">
        <v>0.67524600000000001</v>
      </c>
      <c r="AR26">
        <v>9.3133999999999995E-3</v>
      </c>
      <c r="AS26">
        <v>2.1744400000000001E-2</v>
      </c>
      <c r="AT26">
        <v>3.9605700000000001E-2</v>
      </c>
      <c r="AU26">
        <v>7.9626299999999997E-2</v>
      </c>
      <c r="AV26">
        <v>0.15726299999999999</v>
      </c>
      <c r="AW26">
        <v>0.31617299999999998</v>
      </c>
      <c r="AX26">
        <v>0.63024000000000002</v>
      </c>
      <c r="AY26">
        <v>1.24769</v>
      </c>
      <c r="AZ26">
        <v>2.46679</v>
      </c>
      <c r="BA26">
        <v>4.8678900000000001</v>
      </c>
      <c r="BB26">
        <v>9.9328099999999999</v>
      </c>
    </row>
    <row r="27" spans="1:54" x14ac:dyDescent="0.25">
      <c r="A27">
        <v>1.6808000000000001E-3</v>
      </c>
      <c r="B27">
        <v>1.8411E-3</v>
      </c>
      <c r="C27">
        <v>1.6994E-3</v>
      </c>
      <c r="D27">
        <v>1.7114999999999999E-3</v>
      </c>
      <c r="E27">
        <v>1.8129000000000001E-3</v>
      </c>
      <c r="F27">
        <v>2.5306999999999999E-3</v>
      </c>
      <c r="G27">
        <v>2.6391000000000001E-3</v>
      </c>
      <c r="H27">
        <v>3.8892000000000002E-3</v>
      </c>
      <c r="I27">
        <v>6.0130000000000001E-3</v>
      </c>
      <c r="J27">
        <v>1.05308E-2</v>
      </c>
      <c r="K27">
        <v>1.8613999999999999E-2</v>
      </c>
      <c r="L27">
        <v>3.5563299999999999E-2</v>
      </c>
      <c r="M27">
        <v>6.9348499999999993E-2</v>
      </c>
      <c r="N27">
        <v>0.13706499999999999</v>
      </c>
      <c r="O27">
        <v>0.273287</v>
      </c>
      <c r="P27">
        <v>0.54762200000000005</v>
      </c>
      <c r="Q27">
        <v>5.6223999999999996E-3</v>
      </c>
      <c r="R27">
        <v>1.08708E-2</v>
      </c>
      <c r="S27">
        <v>2.1570800000000001E-2</v>
      </c>
      <c r="T27">
        <v>4.1489999999999999E-2</v>
      </c>
      <c r="U27">
        <v>8.4628599999999998E-2</v>
      </c>
      <c r="V27">
        <v>0.17143700000000001</v>
      </c>
      <c r="W27">
        <v>0.33969500000000002</v>
      </c>
      <c r="X27">
        <v>0.68552299999999999</v>
      </c>
      <c r="Y27">
        <v>1.3593599999999999</v>
      </c>
      <c r="Z27">
        <v>2.69224</v>
      </c>
      <c r="AA27">
        <v>5.4173099999999996</v>
      </c>
      <c r="AB27">
        <v>1.2262E-3</v>
      </c>
      <c r="AC27">
        <v>1.2523E-3</v>
      </c>
      <c r="AD27">
        <v>1.2358E-3</v>
      </c>
      <c r="AE27">
        <v>1.3545E-3</v>
      </c>
      <c r="AF27">
        <v>1.4147999999999999E-3</v>
      </c>
      <c r="AG27">
        <v>1.6314000000000001E-3</v>
      </c>
      <c r="AH27">
        <v>2.4386E-3</v>
      </c>
      <c r="AI27">
        <v>3.8403999999999999E-3</v>
      </c>
      <c r="AJ27">
        <v>6.5798999999999996E-3</v>
      </c>
      <c r="AK27">
        <v>1.1779599999999999E-2</v>
      </c>
      <c r="AL27">
        <v>2.2080900000000001E-2</v>
      </c>
      <c r="AM27">
        <v>4.32033E-2</v>
      </c>
      <c r="AN27">
        <v>8.4601800000000005E-2</v>
      </c>
      <c r="AO27">
        <v>0.168931</v>
      </c>
      <c r="AP27">
        <v>0.33870499999999998</v>
      </c>
      <c r="AQ27">
        <v>0.67509200000000003</v>
      </c>
      <c r="AR27">
        <v>9.4938999999999996E-3</v>
      </c>
      <c r="AS27">
        <v>2.06473E-2</v>
      </c>
      <c r="AT27">
        <v>3.9059400000000001E-2</v>
      </c>
      <c r="AU27">
        <v>8.1564600000000001E-2</v>
      </c>
      <c r="AV27">
        <v>0.15353900000000001</v>
      </c>
      <c r="AW27">
        <v>0.308305</v>
      </c>
      <c r="AX27">
        <v>0.61761900000000003</v>
      </c>
      <c r="AY27">
        <v>1.2402599999999999</v>
      </c>
      <c r="AZ27">
        <v>2.4659499999999999</v>
      </c>
      <c r="BA27">
        <v>4.8753599999999997</v>
      </c>
      <c r="BB27">
        <v>9.8372600000000006</v>
      </c>
    </row>
    <row r="28" spans="1:54" x14ac:dyDescent="0.25">
      <c r="A28">
        <v>1.6570000000000001E-3</v>
      </c>
      <c r="B28">
        <v>1.7568E-3</v>
      </c>
      <c r="C28">
        <v>1.8554999999999999E-3</v>
      </c>
      <c r="D28">
        <v>1.6443E-3</v>
      </c>
      <c r="E28">
        <v>1.7254E-3</v>
      </c>
      <c r="F28">
        <v>2.4258000000000001E-3</v>
      </c>
      <c r="G28">
        <v>2.6010999999999999E-3</v>
      </c>
      <c r="H28">
        <v>3.8830000000000002E-3</v>
      </c>
      <c r="I28">
        <v>6.2616E-3</v>
      </c>
      <c r="J28">
        <v>1.0450600000000001E-2</v>
      </c>
      <c r="K28">
        <v>1.86955E-2</v>
      </c>
      <c r="L28">
        <v>3.5385300000000001E-2</v>
      </c>
      <c r="M28">
        <v>6.9751199999999999E-2</v>
      </c>
      <c r="N28">
        <v>0.13669300000000001</v>
      </c>
      <c r="O28">
        <v>0.273115</v>
      </c>
      <c r="P28">
        <v>0.54739300000000002</v>
      </c>
      <c r="Q28">
        <v>5.5786999999999998E-3</v>
      </c>
      <c r="R28">
        <v>1.05072E-2</v>
      </c>
      <c r="S28">
        <v>2.2302900000000001E-2</v>
      </c>
      <c r="T28">
        <v>4.2671500000000001E-2</v>
      </c>
      <c r="U28">
        <v>8.6644600000000002E-2</v>
      </c>
      <c r="V28">
        <v>0.17108799999999999</v>
      </c>
      <c r="W28">
        <v>0.32914100000000002</v>
      </c>
      <c r="X28">
        <v>0.70042000000000004</v>
      </c>
      <c r="Y28">
        <v>1.3548</v>
      </c>
      <c r="Z28">
        <v>2.7442600000000001</v>
      </c>
      <c r="AA28">
        <v>5.4119000000000002</v>
      </c>
      <c r="AB28">
        <v>1.2921E-3</v>
      </c>
      <c r="AC28">
        <v>1.3994000000000001E-3</v>
      </c>
      <c r="AD28">
        <v>1.4404000000000001E-3</v>
      </c>
      <c r="AE28">
        <v>1.4315E-3</v>
      </c>
      <c r="AF28">
        <v>1.3975999999999999E-3</v>
      </c>
      <c r="AG28">
        <v>1.6475999999999999E-3</v>
      </c>
      <c r="AH28">
        <v>2.4275E-3</v>
      </c>
      <c r="AI28">
        <v>3.8562000000000002E-3</v>
      </c>
      <c r="AJ28">
        <v>6.5360000000000001E-3</v>
      </c>
      <c r="AK28">
        <v>1.1779899999999999E-2</v>
      </c>
      <c r="AL28">
        <v>2.2263999999999999E-2</v>
      </c>
      <c r="AM28">
        <v>4.3281699999999999E-2</v>
      </c>
      <c r="AN28">
        <v>8.4606600000000004E-2</v>
      </c>
      <c r="AO28">
        <v>0.169074</v>
      </c>
      <c r="AP28">
        <v>0.33880199999999999</v>
      </c>
      <c r="AQ28">
        <v>0.67517099999999997</v>
      </c>
      <c r="AR28">
        <v>1.00283E-2</v>
      </c>
      <c r="AS28">
        <v>2.0001600000000001E-2</v>
      </c>
      <c r="AT28">
        <v>3.87365E-2</v>
      </c>
      <c r="AU28">
        <v>8.0902500000000002E-2</v>
      </c>
      <c r="AV28">
        <v>0.15551799999999999</v>
      </c>
      <c r="AW28">
        <v>0.30268200000000001</v>
      </c>
      <c r="AX28">
        <v>0.60565599999999997</v>
      </c>
      <c r="AY28">
        <v>1.22464</v>
      </c>
      <c r="AZ28">
        <v>2.4619200000000001</v>
      </c>
      <c r="BA28">
        <v>4.9147600000000002</v>
      </c>
      <c r="BB28">
        <v>9.9475200000000008</v>
      </c>
    </row>
    <row r="29" spans="1:54" x14ac:dyDescent="0.25">
      <c r="A29">
        <v>1.6532999999999999E-3</v>
      </c>
      <c r="B29">
        <v>1.6685999999999999E-3</v>
      </c>
      <c r="C29">
        <v>1.6456999999999999E-3</v>
      </c>
      <c r="D29">
        <v>1.9111E-3</v>
      </c>
      <c r="E29">
        <v>1.7489999999999999E-3</v>
      </c>
      <c r="F29">
        <v>2.4264E-3</v>
      </c>
      <c r="G29">
        <v>2.5907E-3</v>
      </c>
      <c r="H29">
        <v>3.7596999999999999E-3</v>
      </c>
      <c r="I29">
        <v>6.3103999999999999E-3</v>
      </c>
      <c r="J29">
        <v>1.0323799999999999E-2</v>
      </c>
      <c r="K29">
        <v>1.86359E-2</v>
      </c>
      <c r="L29">
        <v>3.5684E-2</v>
      </c>
      <c r="M29">
        <v>6.9343500000000002E-2</v>
      </c>
      <c r="N29">
        <v>0.136824</v>
      </c>
      <c r="O29">
        <v>0.27317399999999997</v>
      </c>
      <c r="P29">
        <v>0.547319</v>
      </c>
      <c r="Q29">
        <v>5.3420000000000004E-3</v>
      </c>
      <c r="R29">
        <v>1.05989E-2</v>
      </c>
      <c r="S29">
        <v>2.2797700000000001E-2</v>
      </c>
      <c r="T29">
        <v>4.2524800000000001E-2</v>
      </c>
      <c r="U29">
        <v>8.4692699999999996E-2</v>
      </c>
      <c r="V29">
        <v>0.16927900000000001</v>
      </c>
      <c r="W29">
        <v>0.33696799999999999</v>
      </c>
      <c r="X29">
        <v>0.67398999999999998</v>
      </c>
      <c r="Y29">
        <v>1.3558600000000001</v>
      </c>
      <c r="Z29">
        <v>2.7447400000000002</v>
      </c>
      <c r="AA29">
        <v>5.4047200000000002</v>
      </c>
      <c r="AB29">
        <v>1.2446E-3</v>
      </c>
      <c r="AC29">
        <v>1.2534E-3</v>
      </c>
      <c r="AD29">
        <v>1.2916E-3</v>
      </c>
      <c r="AE29">
        <v>1.3575E-3</v>
      </c>
      <c r="AF29">
        <v>1.384E-3</v>
      </c>
      <c r="AG29">
        <v>1.7564E-3</v>
      </c>
      <c r="AH29">
        <v>2.3785999999999998E-3</v>
      </c>
      <c r="AI29">
        <v>4.0540000000000003E-3</v>
      </c>
      <c r="AJ29">
        <v>6.5062999999999996E-3</v>
      </c>
      <c r="AK29">
        <v>1.1672800000000001E-2</v>
      </c>
      <c r="AL29">
        <v>2.21709E-2</v>
      </c>
      <c r="AM29">
        <v>4.3053399999999999E-2</v>
      </c>
      <c r="AN29">
        <v>8.4855799999999995E-2</v>
      </c>
      <c r="AO29">
        <v>0.16909099999999999</v>
      </c>
      <c r="AP29">
        <v>0.33863900000000002</v>
      </c>
      <c r="AQ29">
        <v>0.675153</v>
      </c>
      <c r="AR29">
        <v>9.3121999999999996E-3</v>
      </c>
      <c r="AS29">
        <v>1.9692299999999999E-2</v>
      </c>
      <c r="AT29">
        <v>3.9420900000000002E-2</v>
      </c>
      <c r="AU29">
        <v>7.6741799999999999E-2</v>
      </c>
      <c r="AV29">
        <v>0.15098600000000001</v>
      </c>
      <c r="AW29">
        <v>0.30335600000000001</v>
      </c>
      <c r="AX29">
        <v>0.61400699999999997</v>
      </c>
      <c r="AY29">
        <v>1.2364200000000001</v>
      </c>
      <c r="AZ29">
        <v>2.4882300000000002</v>
      </c>
      <c r="BA29">
        <v>4.8850600000000002</v>
      </c>
      <c r="BB29">
        <v>9.9964099999999991</v>
      </c>
    </row>
    <row r="30" spans="1:54" x14ac:dyDescent="0.25">
      <c r="A30">
        <v>1.6613999999999999E-3</v>
      </c>
      <c r="B30">
        <v>1.6546E-3</v>
      </c>
      <c r="C30">
        <v>1.7296E-3</v>
      </c>
      <c r="D30">
        <v>1.7626E-3</v>
      </c>
      <c r="E30">
        <v>1.8109999999999999E-3</v>
      </c>
      <c r="F30">
        <v>2.4799000000000002E-3</v>
      </c>
      <c r="G30">
        <v>2.5552000000000001E-3</v>
      </c>
      <c r="H30">
        <v>3.9468000000000003E-3</v>
      </c>
      <c r="I30">
        <v>5.9791000000000002E-3</v>
      </c>
      <c r="J30">
        <v>1.0215699999999999E-2</v>
      </c>
      <c r="K30">
        <v>1.8669600000000001E-2</v>
      </c>
      <c r="L30">
        <v>3.5527400000000001E-2</v>
      </c>
      <c r="M30">
        <v>6.9392800000000004E-2</v>
      </c>
      <c r="N30">
        <v>0.136763</v>
      </c>
      <c r="O30">
        <v>0.27353100000000002</v>
      </c>
      <c r="P30">
        <v>0.54735800000000001</v>
      </c>
      <c r="Q30">
        <v>5.5821999999999998E-3</v>
      </c>
      <c r="R30">
        <v>1.0944199999999999E-2</v>
      </c>
      <c r="S30">
        <v>2.39113E-2</v>
      </c>
      <c r="T30">
        <v>4.25349E-2</v>
      </c>
      <c r="U30">
        <v>8.5229899999999997E-2</v>
      </c>
      <c r="V30">
        <v>0.16481000000000001</v>
      </c>
      <c r="W30">
        <v>0.34013700000000002</v>
      </c>
      <c r="X30">
        <v>0.66927599999999998</v>
      </c>
      <c r="Y30">
        <v>1.3542799999999999</v>
      </c>
      <c r="Z30">
        <v>2.6919900000000001</v>
      </c>
      <c r="AA30">
        <v>5.4377199999999997</v>
      </c>
      <c r="AB30">
        <v>1.2352000000000001E-3</v>
      </c>
      <c r="AC30">
        <v>1.2834000000000001E-3</v>
      </c>
      <c r="AD30">
        <v>1.2260000000000001E-3</v>
      </c>
      <c r="AE30">
        <v>1.3311E-3</v>
      </c>
      <c r="AF30">
        <v>1.5219000000000001E-3</v>
      </c>
      <c r="AG30">
        <v>1.6937E-3</v>
      </c>
      <c r="AH30">
        <v>2.4957E-3</v>
      </c>
      <c r="AI30">
        <v>3.8356000000000002E-3</v>
      </c>
      <c r="AJ30">
        <v>6.4495000000000004E-3</v>
      </c>
      <c r="AK30">
        <v>1.1864599999999999E-2</v>
      </c>
      <c r="AL30">
        <v>2.2213E-2</v>
      </c>
      <c r="AM30">
        <v>4.3132299999999998E-2</v>
      </c>
      <c r="AN30">
        <v>8.4800100000000003E-2</v>
      </c>
      <c r="AO30">
        <v>0.16909199999999999</v>
      </c>
      <c r="AP30">
        <v>0.33867000000000003</v>
      </c>
      <c r="AQ30">
        <v>0.67517899999999997</v>
      </c>
      <c r="AR30">
        <v>9.5933000000000008E-3</v>
      </c>
      <c r="AS30">
        <v>2.09879E-2</v>
      </c>
      <c r="AT30">
        <v>3.9746099999999999E-2</v>
      </c>
      <c r="AU30">
        <v>7.7014299999999994E-2</v>
      </c>
      <c r="AV30">
        <v>0.15023500000000001</v>
      </c>
      <c r="AW30">
        <v>0.304261</v>
      </c>
      <c r="AX30">
        <v>0.63481799999999999</v>
      </c>
      <c r="AY30">
        <v>1.2265900000000001</v>
      </c>
      <c r="AZ30">
        <v>2.47078</v>
      </c>
      <c r="BA30">
        <v>4.9236800000000001</v>
      </c>
      <c r="BB30">
        <v>9.8503900000000009</v>
      </c>
    </row>
    <row r="31" spans="1:54" x14ac:dyDescent="0.25">
      <c r="A31">
        <v>1.6444999999999999E-3</v>
      </c>
      <c r="B31">
        <v>1.6509000000000001E-3</v>
      </c>
      <c r="C31">
        <v>1.7102E-3</v>
      </c>
      <c r="D31">
        <v>1.6783E-3</v>
      </c>
      <c r="E31">
        <v>1.7818000000000001E-3</v>
      </c>
      <c r="F31">
        <v>2.2623999999999999E-3</v>
      </c>
      <c r="G31">
        <v>2.6297999999999998E-3</v>
      </c>
      <c r="H31">
        <v>3.9912999999999997E-3</v>
      </c>
      <c r="I31">
        <v>6.0064999999999997E-3</v>
      </c>
      <c r="J31">
        <v>1.03167E-2</v>
      </c>
      <c r="K31">
        <v>1.8723099999999999E-2</v>
      </c>
      <c r="L31">
        <v>3.5491799999999997E-2</v>
      </c>
      <c r="M31">
        <v>6.9502900000000006E-2</v>
      </c>
      <c r="N31">
        <v>0.136653</v>
      </c>
      <c r="O31">
        <v>0.27318999999999999</v>
      </c>
      <c r="P31">
        <v>0.54728399999999999</v>
      </c>
      <c r="Q31">
        <v>5.4082000000000002E-3</v>
      </c>
      <c r="R31">
        <v>1.08164E-2</v>
      </c>
      <c r="S31">
        <v>2.2951900000000001E-2</v>
      </c>
      <c r="T31">
        <v>4.2734399999999999E-2</v>
      </c>
      <c r="U31">
        <v>8.5065399999999999E-2</v>
      </c>
      <c r="V31">
        <v>0.16788500000000001</v>
      </c>
      <c r="W31">
        <v>0.34035199999999999</v>
      </c>
      <c r="X31">
        <v>0.66739700000000002</v>
      </c>
      <c r="Y31">
        <v>1.37565</v>
      </c>
      <c r="Z31">
        <v>2.7063700000000002</v>
      </c>
      <c r="AA31">
        <v>5.4574199999999999</v>
      </c>
      <c r="AB31">
        <v>1.2508E-3</v>
      </c>
      <c r="AC31">
        <v>1.2202000000000001E-3</v>
      </c>
      <c r="AD31">
        <v>1.2707E-3</v>
      </c>
      <c r="AE31">
        <v>1.3324000000000001E-3</v>
      </c>
      <c r="AF31">
        <v>1.3910999999999999E-3</v>
      </c>
      <c r="AG31">
        <v>1.6305E-3</v>
      </c>
      <c r="AH31">
        <v>2.4894000000000001E-3</v>
      </c>
      <c r="AI31">
        <v>3.8874000000000001E-3</v>
      </c>
      <c r="AJ31">
        <v>6.5370999999999997E-3</v>
      </c>
      <c r="AK31">
        <v>1.1787600000000001E-2</v>
      </c>
      <c r="AL31">
        <v>2.20425E-2</v>
      </c>
      <c r="AM31">
        <v>4.3184899999999998E-2</v>
      </c>
      <c r="AN31">
        <v>8.4689200000000006E-2</v>
      </c>
      <c r="AO31">
        <v>0.169131</v>
      </c>
      <c r="AP31">
        <v>0.33865000000000001</v>
      </c>
      <c r="AQ31">
        <v>0.67521200000000003</v>
      </c>
      <c r="AR31">
        <v>9.4821000000000003E-3</v>
      </c>
      <c r="AS31">
        <v>2.14705E-2</v>
      </c>
      <c r="AT31">
        <v>4.0278500000000002E-2</v>
      </c>
      <c r="AU31">
        <v>7.89025E-2</v>
      </c>
      <c r="AV31">
        <v>0.15467</v>
      </c>
      <c r="AW31">
        <v>0.30499300000000001</v>
      </c>
      <c r="AX31">
        <v>0.60324299999999997</v>
      </c>
      <c r="AY31">
        <v>1.2113400000000001</v>
      </c>
      <c r="AZ31">
        <v>2.4460099999999998</v>
      </c>
      <c r="BA31">
        <v>4.9143999999999997</v>
      </c>
      <c r="BB31">
        <v>9.7734400000000008</v>
      </c>
    </row>
    <row r="32" spans="1:54" x14ac:dyDescent="0.25">
      <c r="A32">
        <v>1.8513E-3</v>
      </c>
      <c r="B32">
        <v>1.7945999999999999E-3</v>
      </c>
      <c r="C32">
        <v>1.7842999999999999E-3</v>
      </c>
      <c r="D32">
        <v>1.6389E-3</v>
      </c>
      <c r="E32">
        <v>2.7602999999999998E-3</v>
      </c>
      <c r="F32">
        <v>2.2539000000000001E-3</v>
      </c>
      <c r="G32">
        <v>2.6134000000000001E-3</v>
      </c>
      <c r="H32">
        <v>4.0667999999999998E-3</v>
      </c>
      <c r="I32">
        <v>6.0182999999999999E-3</v>
      </c>
      <c r="J32">
        <v>1.03117E-2</v>
      </c>
      <c r="K32">
        <v>1.8707700000000001E-2</v>
      </c>
      <c r="L32">
        <v>3.5493999999999998E-2</v>
      </c>
      <c r="M32">
        <v>6.9533499999999998E-2</v>
      </c>
      <c r="N32">
        <v>0.13697300000000001</v>
      </c>
      <c r="O32">
        <v>0.273422</v>
      </c>
      <c r="P32">
        <v>0.54740500000000003</v>
      </c>
      <c r="Q32">
        <v>5.3626000000000004E-3</v>
      </c>
      <c r="R32">
        <v>1.10569E-2</v>
      </c>
      <c r="S32">
        <v>2.62207E-2</v>
      </c>
      <c r="T32">
        <v>4.3106199999999997E-2</v>
      </c>
      <c r="U32">
        <v>8.3969799999999997E-2</v>
      </c>
      <c r="V32">
        <v>0.166713</v>
      </c>
      <c r="W32">
        <v>0.34217399999999998</v>
      </c>
      <c r="X32">
        <v>0.68071300000000001</v>
      </c>
      <c r="Y32">
        <v>1.3585700000000001</v>
      </c>
      <c r="Z32">
        <v>2.71923</v>
      </c>
      <c r="AA32">
        <v>5.4037800000000002</v>
      </c>
      <c r="AB32">
        <v>1.2703E-3</v>
      </c>
      <c r="AC32">
        <v>1.2007999999999999E-3</v>
      </c>
      <c r="AD32">
        <v>1.2477E-3</v>
      </c>
      <c r="AE32">
        <v>1.2841E-3</v>
      </c>
      <c r="AF32">
        <v>1.4748999999999999E-3</v>
      </c>
      <c r="AG32">
        <v>1.7723999999999999E-3</v>
      </c>
      <c r="AH32">
        <v>2.6651000000000001E-3</v>
      </c>
      <c r="AI32">
        <v>3.98E-3</v>
      </c>
      <c r="AJ32">
        <v>6.4221E-3</v>
      </c>
      <c r="AK32">
        <v>1.1864E-2</v>
      </c>
      <c r="AL32">
        <v>2.1969099999999998E-2</v>
      </c>
      <c r="AM32">
        <v>4.3316599999999997E-2</v>
      </c>
      <c r="AN32">
        <v>8.4773600000000005E-2</v>
      </c>
      <c r="AO32">
        <v>0.16910900000000001</v>
      </c>
      <c r="AP32">
        <v>0.33859099999999998</v>
      </c>
      <c r="AQ32">
        <v>0.67525100000000005</v>
      </c>
      <c r="AR32">
        <v>9.2856999999999992E-3</v>
      </c>
      <c r="AS32">
        <v>1.9867099999999999E-2</v>
      </c>
      <c r="AT32">
        <v>3.8774200000000002E-2</v>
      </c>
      <c r="AU32">
        <v>7.6501E-2</v>
      </c>
      <c r="AV32">
        <v>0.150367</v>
      </c>
      <c r="AW32">
        <v>0.29962499999999997</v>
      </c>
      <c r="AX32">
        <v>0.634965</v>
      </c>
      <c r="AY32">
        <v>1.22488</v>
      </c>
      <c r="AZ32">
        <v>2.42354</v>
      </c>
      <c r="BA32">
        <v>4.8975900000000001</v>
      </c>
      <c r="BB32">
        <v>9.7843199999999992</v>
      </c>
    </row>
    <row r="33" spans="1:54" x14ac:dyDescent="0.25">
      <c r="A33">
        <v>1.7520999999999999E-3</v>
      </c>
      <c r="B33">
        <v>1.7397999999999999E-3</v>
      </c>
      <c r="C33">
        <v>1.8162E-3</v>
      </c>
      <c r="D33">
        <v>1.6229E-3</v>
      </c>
      <c r="E33">
        <v>1.7818000000000001E-3</v>
      </c>
      <c r="F33">
        <v>2.0990000000000002E-3</v>
      </c>
      <c r="G33">
        <v>2.7025999999999999E-3</v>
      </c>
      <c r="H33">
        <v>3.6294999999999999E-3</v>
      </c>
      <c r="I33">
        <v>6.0279000000000001E-3</v>
      </c>
      <c r="J33">
        <v>1.04533E-2</v>
      </c>
      <c r="K33">
        <v>1.8762000000000001E-2</v>
      </c>
      <c r="L33">
        <v>3.5424400000000002E-2</v>
      </c>
      <c r="M33">
        <v>6.9576100000000002E-2</v>
      </c>
      <c r="N33">
        <v>0.13683300000000001</v>
      </c>
      <c r="O33">
        <v>0.273148</v>
      </c>
      <c r="P33">
        <v>0.54766000000000004</v>
      </c>
      <c r="Q33">
        <v>5.4140000000000004E-3</v>
      </c>
      <c r="R33">
        <v>1.13717E-2</v>
      </c>
      <c r="S33">
        <v>2.2046199999999998E-2</v>
      </c>
      <c r="T33">
        <v>4.2641199999999997E-2</v>
      </c>
      <c r="U33">
        <v>8.3738300000000002E-2</v>
      </c>
      <c r="V33">
        <v>0.16958000000000001</v>
      </c>
      <c r="W33">
        <v>0.34143899999999999</v>
      </c>
      <c r="X33">
        <v>0.67813000000000001</v>
      </c>
      <c r="Y33">
        <v>1.32714</v>
      </c>
      <c r="Z33">
        <v>2.68912</v>
      </c>
      <c r="AA33">
        <v>5.4541199999999996</v>
      </c>
      <c r="AB33">
        <v>1.2467000000000001E-3</v>
      </c>
      <c r="AC33">
        <v>1.2026999999999999E-3</v>
      </c>
      <c r="AD33">
        <v>1.1982E-3</v>
      </c>
      <c r="AE33">
        <v>1.2727000000000001E-3</v>
      </c>
      <c r="AF33">
        <v>1.5424E-3</v>
      </c>
      <c r="AG33">
        <v>1.6764E-3</v>
      </c>
      <c r="AH33">
        <v>2.5482999999999999E-3</v>
      </c>
      <c r="AI33">
        <v>3.9084000000000002E-3</v>
      </c>
      <c r="AJ33">
        <v>6.4021E-3</v>
      </c>
      <c r="AK33">
        <v>1.16661E-2</v>
      </c>
      <c r="AL33">
        <v>2.2272900000000002E-2</v>
      </c>
      <c r="AM33">
        <v>4.3322199999999998E-2</v>
      </c>
      <c r="AN33">
        <v>8.4836300000000003E-2</v>
      </c>
      <c r="AO33">
        <v>0.16907700000000001</v>
      </c>
      <c r="AP33">
        <v>0.33860699999999999</v>
      </c>
      <c r="AQ33">
        <v>0.67511299999999996</v>
      </c>
      <c r="AR33">
        <v>9.5715999999999996E-3</v>
      </c>
      <c r="AS33">
        <v>1.9320899999999998E-2</v>
      </c>
      <c r="AT33">
        <v>3.9310299999999999E-2</v>
      </c>
      <c r="AU33">
        <v>8.1458900000000001E-2</v>
      </c>
      <c r="AV33">
        <v>0.15570300000000001</v>
      </c>
      <c r="AW33">
        <v>0.31863000000000002</v>
      </c>
      <c r="AX33">
        <v>0.62052799999999997</v>
      </c>
      <c r="AY33">
        <v>1.24566</v>
      </c>
      <c r="AZ33">
        <v>2.4489299999999998</v>
      </c>
      <c r="BA33">
        <v>4.9061300000000001</v>
      </c>
      <c r="BB33">
        <v>9.8181700000000003</v>
      </c>
    </row>
    <row r="34" spans="1:54" x14ac:dyDescent="0.25">
      <c r="A34">
        <v>1.7393E-3</v>
      </c>
      <c r="B34">
        <v>1.691E-3</v>
      </c>
      <c r="C34">
        <v>1.6425000000000001E-3</v>
      </c>
      <c r="D34">
        <v>1.6410999999999999E-3</v>
      </c>
      <c r="E34">
        <v>1.7761999999999999E-3</v>
      </c>
      <c r="F34">
        <v>2.0588E-3</v>
      </c>
      <c r="G34">
        <v>2.7147999999999999E-3</v>
      </c>
      <c r="H34">
        <v>3.5975E-3</v>
      </c>
      <c r="I34">
        <v>6.7739000000000002E-3</v>
      </c>
      <c r="J34">
        <v>1.0256100000000001E-2</v>
      </c>
      <c r="K34">
        <v>1.8755299999999999E-2</v>
      </c>
      <c r="L34">
        <v>3.5373399999999999E-2</v>
      </c>
      <c r="M34">
        <v>6.95664E-2</v>
      </c>
      <c r="N34">
        <v>0.136875</v>
      </c>
      <c r="O34">
        <v>0.27344200000000002</v>
      </c>
      <c r="P34">
        <v>0.54750500000000002</v>
      </c>
      <c r="Q34">
        <v>5.2043000000000002E-3</v>
      </c>
      <c r="R34">
        <v>1.17158E-2</v>
      </c>
      <c r="S34">
        <v>2.1776199999999999E-2</v>
      </c>
      <c r="T34">
        <v>4.6919299999999997E-2</v>
      </c>
      <c r="U34">
        <v>8.5597900000000005E-2</v>
      </c>
      <c r="V34">
        <v>0.171457</v>
      </c>
      <c r="W34">
        <v>0.33682099999999998</v>
      </c>
      <c r="X34">
        <v>0.65546099999999996</v>
      </c>
      <c r="Y34">
        <v>1.35409</v>
      </c>
      <c r="Z34">
        <v>2.69076</v>
      </c>
      <c r="AA34">
        <v>5.4199000000000002</v>
      </c>
      <c r="AB34">
        <v>1.3194000000000001E-3</v>
      </c>
      <c r="AC34">
        <v>1.2765999999999999E-3</v>
      </c>
      <c r="AD34">
        <v>1.3323E-3</v>
      </c>
      <c r="AE34">
        <v>1.3079999999999999E-3</v>
      </c>
      <c r="AF34">
        <v>1.5248E-3</v>
      </c>
      <c r="AG34">
        <v>1.6892000000000001E-3</v>
      </c>
      <c r="AH34">
        <v>2.5079E-3</v>
      </c>
      <c r="AI34">
        <v>3.8684000000000001E-3</v>
      </c>
      <c r="AJ34">
        <v>6.5113999999999997E-3</v>
      </c>
      <c r="AK34">
        <v>1.16358E-2</v>
      </c>
      <c r="AL34">
        <v>2.2089000000000001E-2</v>
      </c>
      <c r="AM34">
        <v>4.3134699999999998E-2</v>
      </c>
      <c r="AN34">
        <v>8.4797800000000007E-2</v>
      </c>
      <c r="AO34">
        <v>0.169019</v>
      </c>
      <c r="AP34">
        <v>0.33865299999999998</v>
      </c>
      <c r="AQ34">
        <v>0.67515000000000003</v>
      </c>
      <c r="AR34">
        <v>9.4801999999999994E-3</v>
      </c>
      <c r="AS34">
        <v>1.9390999999999999E-2</v>
      </c>
      <c r="AT34">
        <v>4.0874300000000002E-2</v>
      </c>
      <c r="AU34">
        <v>7.6735899999999996E-2</v>
      </c>
      <c r="AV34">
        <v>0.153868</v>
      </c>
      <c r="AW34">
        <v>0.29570299999999999</v>
      </c>
      <c r="AX34">
        <v>0.62171600000000005</v>
      </c>
      <c r="AY34">
        <v>1.2315400000000001</v>
      </c>
      <c r="AZ34">
        <v>2.4821499999999999</v>
      </c>
      <c r="BA34">
        <v>4.8802000000000003</v>
      </c>
      <c r="BB34">
        <v>9.73935</v>
      </c>
    </row>
    <row r="35" spans="1:54" x14ac:dyDescent="0.25">
      <c r="A35">
        <v>1.7332999999999999E-3</v>
      </c>
      <c r="B35">
        <v>1.6588E-3</v>
      </c>
      <c r="C35">
        <v>1.6509999999999999E-3</v>
      </c>
      <c r="D35">
        <v>1.6980999999999999E-3</v>
      </c>
      <c r="E35">
        <v>1.7252999999999999E-3</v>
      </c>
      <c r="F35">
        <v>1.9957999999999998E-3</v>
      </c>
      <c r="G35">
        <v>2.6172000000000001E-3</v>
      </c>
      <c r="H35">
        <v>3.7896000000000002E-3</v>
      </c>
      <c r="I35">
        <v>6.1774999999999998E-3</v>
      </c>
      <c r="J35">
        <v>1.02726E-2</v>
      </c>
      <c r="K35">
        <v>1.8733799999999998E-2</v>
      </c>
      <c r="L35">
        <v>3.5501900000000003E-2</v>
      </c>
      <c r="M35">
        <v>6.9384199999999993E-2</v>
      </c>
      <c r="N35">
        <v>0.136767</v>
      </c>
      <c r="O35">
        <v>0.27324799999999999</v>
      </c>
      <c r="P35">
        <v>0.54750500000000002</v>
      </c>
      <c r="Q35">
        <v>5.1999000000000004E-3</v>
      </c>
      <c r="R35">
        <v>1.2045699999999999E-2</v>
      </c>
      <c r="S35">
        <v>2.1524100000000001E-2</v>
      </c>
      <c r="T35">
        <v>4.8185800000000001E-2</v>
      </c>
      <c r="U35">
        <v>8.4737199999999999E-2</v>
      </c>
      <c r="V35">
        <v>0.170955</v>
      </c>
      <c r="W35">
        <v>0.32816099999999998</v>
      </c>
      <c r="X35">
        <v>0.67840599999999995</v>
      </c>
      <c r="Y35">
        <v>1.3680399999999999</v>
      </c>
      <c r="Z35">
        <v>2.6954099999999999</v>
      </c>
      <c r="AA35">
        <v>5.4300499999999996</v>
      </c>
      <c r="AB35">
        <v>1.2535000000000001E-3</v>
      </c>
      <c r="AC35">
        <v>1.2121E-3</v>
      </c>
      <c r="AD35">
        <v>1.3362000000000001E-3</v>
      </c>
      <c r="AE35">
        <v>1.3035E-3</v>
      </c>
      <c r="AF35">
        <v>1.3738000000000001E-3</v>
      </c>
      <c r="AG35">
        <v>1.9023E-3</v>
      </c>
      <c r="AH35">
        <v>2.5438000000000001E-3</v>
      </c>
      <c r="AI35">
        <v>3.9550999999999996E-3</v>
      </c>
      <c r="AJ35">
        <v>1.32827E-2</v>
      </c>
      <c r="AK35">
        <v>1.1720899999999999E-2</v>
      </c>
      <c r="AL35">
        <v>2.2041399999999999E-2</v>
      </c>
      <c r="AM35">
        <v>4.31584E-2</v>
      </c>
      <c r="AN35">
        <v>8.4662200000000007E-2</v>
      </c>
      <c r="AO35">
        <v>0.169152</v>
      </c>
      <c r="AP35">
        <v>0.338729</v>
      </c>
      <c r="AQ35">
        <v>0.67506500000000003</v>
      </c>
      <c r="AR35">
        <v>1.0690399999999999E-2</v>
      </c>
      <c r="AS35">
        <v>1.9462699999999999E-2</v>
      </c>
      <c r="AT35">
        <v>3.9762800000000001E-2</v>
      </c>
      <c r="AU35">
        <v>7.8568399999999997E-2</v>
      </c>
      <c r="AV35">
        <v>0.15584799999999999</v>
      </c>
      <c r="AW35">
        <v>0.29850700000000002</v>
      </c>
      <c r="AX35">
        <v>0.61494599999999999</v>
      </c>
      <c r="AY35">
        <v>1.2344299999999999</v>
      </c>
      <c r="AZ35">
        <v>2.45052</v>
      </c>
      <c r="BA35">
        <v>4.8794899999999997</v>
      </c>
      <c r="BB35">
        <v>9.7101900000000008</v>
      </c>
    </row>
    <row r="36" spans="1:54" x14ac:dyDescent="0.25">
      <c r="A36">
        <v>1.7872999999999999E-3</v>
      </c>
      <c r="B36">
        <v>1.6119000000000001E-3</v>
      </c>
      <c r="C36">
        <v>2.0455999999999998E-3</v>
      </c>
      <c r="D36">
        <v>1.7126999999999999E-3</v>
      </c>
      <c r="E36">
        <v>1.8089E-3</v>
      </c>
      <c r="F36">
        <v>2.0642999999999998E-3</v>
      </c>
      <c r="G36">
        <v>2.5630000000000002E-3</v>
      </c>
      <c r="H36">
        <v>3.764E-3</v>
      </c>
      <c r="I36">
        <v>6.2763000000000003E-3</v>
      </c>
      <c r="J36">
        <v>1.04364E-2</v>
      </c>
      <c r="K36">
        <v>1.87084E-2</v>
      </c>
      <c r="L36">
        <v>3.5570200000000003E-2</v>
      </c>
      <c r="M36">
        <v>6.9485599999999995E-2</v>
      </c>
      <c r="N36">
        <v>0.13671900000000001</v>
      </c>
      <c r="O36">
        <v>0.27329900000000001</v>
      </c>
      <c r="P36">
        <v>0.54767500000000002</v>
      </c>
      <c r="Q36">
        <v>5.424E-3</v>
      </c>
      <c r="R36">
        <v>1.12079E-2</v>
      </c>
      <c r="S36">
        <v>2.1496100000000001E-2</v>
      </c>
      <c r="T36">
        <v>4.5549899999999997E-2</v>
      </c>
      <c r="U36">
        <v>8.8171100000000002E-2</v>
      </c>
      <c r="V36">
        <v>0.169012</v>
      </c>
      <c r="W36">
        <v>0.33945799999999998</v>
      </c>
      <c r="X36">
        <v>0.67396900000000004</v>
      </c>
      <c r="Y36">
        <v>1.34416</v>
      </c>
      <c r="Z36">
        <v>2.6861199999999998</v>
      </c>
      <c r="AA36">
        <v>5.4578699999999998</v>
      </c>
      <c r="AB36">
        <v>1.3009E-3</v>
      </c>
      <c r="AC36">
        <v>1.2241999999999999E-3</v>
      </c>
      <c r="AD36">
        <v>1.2589999999999999E-3</v>
      </c>
      <c r="AE36">
        <v>1.2555999999999999E-3</v>
      </c>
      <c r="AF36">
        <v>1.4434999999999999E-3</v>
      </c>
      <c r="AG36">
        <v>2.0211000000000001E-3</v>
      </c>
      <c r="AH36">
        <v>2.5653999999999998E-3</v>
      </c>
      <c r="AI36">
        <v>3.8455999999999998E-3</v>
      </c>
      <c r="AJ36">
        <v>7.0079000000000001E-3</v>
      </c>
      <c r="AK36">
        <v>1.17845E-2</v>
      </c>
      <c r="AL36">
        <v>2.2092799999999999E-2</v>
      </c>
      <c r="AM36">
        <v>4.31239E-2</v>
      </c>
      <c r="AN36">
        <v>8.4721500000000005E-2</v>
      </c>
      <c r="AO36">
        <v>0.169021</v>
      </c>
      <c r="AP36">
        <v>0.33854000000000001</v>
      </c>
      <c r="AQ36">
        <v>0.67511100000000002</v>
      </c>
      <c r="AR36">
        <v>9.9392999999999999E-3</v>
      </c>
      <c r="AS36">
        <v>1.9231499999999999E-2</v>
      </c>
      <c r="AT36">
        <v>3.9466099999999997E-2</v>
      </c>
      <c r="AU36">
        <v>7.7022599999999997E-2</v>
      </c>
      <c r="AV36">
        <v>0.152809</v>
      </c>
      <c r="AW36">
        <v>0.30954999999999999</v>
      </c>
      <c r="AX36">
        <v>0.61000600000000005</v>
      </c>
      <c r="AY36">
        <v>1.2194700000000001</v>
      </c>
      <c r="AZ36">
        <v>2.4442200000000001</v>
      </c>
      <c r="BA36">
        <v>4.92265</v>
      </c>
      <c r="BB36">
        <v>9.7917000000000005</v>
      </c>
    </row>
    <row r="37" spans="1:54" x14ac:dyDescent="0.25">
      <c r="A37">
        <v>1.7205E-3</v>
      </c>
      <c r="B37">
        <v>1.7554999999999999E-3</v>
      </c>
      <c r="C37">
        <v>1.6833E-3</v>
      </c>
      <c r="D37">
        <v>1.6695E-3</v>
      </c>
      <c r="E37">
        <v>1.9273999999999999E-3</v>
      </c>
      <c r="F37">
        <v>1.9312999999999999E-3</v>
      </c>
      <c r="G37">
        <v>2.5382999999999998E-3</v>
      </c>
      <c r="H37">
        <v>3.7810000000000001E-3</v>
      </c>
      <c r="I37">
        <v>6.1415000000000003E-3</v>
      </c>
      <c r="J37">
        <v>1.02661E-2</v>
      </c>
      <c r="K37">
        <v>1.8560699999999999E-2</v>
      </c>
      <c r="L37">
        <v>3.56379E-2</v>
      </c>
      <c r="M37">
        <v>6.9538500000000003E-2</v>
      </c>
      <c r="N37">
        <v>0.13681199999999999</v>
      </c>
      <c r="O37">
        <v>0.27325899999999997</v>
      </c>
      <c r="P37">
        <v>0.54746600000000001</v>
      </c>
      <c r="Q37">
        <v>5.3534999999999998E-3</v>
      </c>
      <c r="R37">
        <v>1.0907200000000001E-2</v>
      </c>
      <c r="S37">
        <v>2.47584E-2</v>
      </c>
      <c r="T37">
        <v>4.2873099999999997E-2</v>
      </c>
      <c r="U37">
        <v>8.7394600000000003E-2</v>
      </c>
      <c r="V37">
        <v>0.16894200000000001</v>
      </c>
      <c r="W37">
        <v>0.33602799999999999</v>
      </c>
      <c r="X37">
        <v>0.66820800000000002</v>
      </c>
      <c r="Y37">
        <v>1.3473200000000001</v>
      </c>
      <c r="Z37">
        <v>2.7500900000000001</v>
      </c>
      <c r="AA37">
        <v>5.3913599999999997</v>
      </c>
      <c r="AB37">
        <v>1.2216E-3</v>
      </c>
      <c r="AC37">
        <v>1.2882E-3</v>
      </c>
      <c r="AD37">
        <v>1.2199999999999999E-3</v>
      </c>
      <c r="AE37">
        <v>1.2692000000000001E-3</v>
      </c>
      <c r="AF37">
        <v>1.4196E-3</v>
      </c>
      <c r="AG37">
        <v>1.8887000000000001E-3</v>
      </c>
      <c r="AH37">
        <v>2.4566000000000002E-3</v>
      </c>
      <c r="AI37">
        <v>3.9217999999999996E-3</v>
      </c>
      <c r="AJ37">
        <v>6.5228999999999999E-3</v>
      </c>
      <c r="AK37">
        <v>1.17219E-2</v>
      </c>
      <c r="AL37">
        <v>2.2106399999999998E-2</v>
      </c>
      <c r="AM37">
        <v>4.3164300000000003E-2</v>
      </c>
      <c r="AN37">
        <v>8.4926000000000001E-2</v>
      </c>
      <c r="AO37">
        <v>0.16914000000000001</v>
      </c>
      <c r="AP37">
        <v>0.33859099999999998</v>
      </c>
      <c r="AQ37">
        <v>0.67503400000000002</v>
      </c>
      <c r="AR37">
        <v>1.06421E-2</v>
      </c>
      <c r="AS37">
        <v>2.1442900000000001E-2</v>
      </c>
      <c r="AT37">
        <v>3.94966E-2</v>
      </c>
      <c r="AU37">
        <v>7.7096100000000001E-2</v>
      </c>
      <c r="AV37">
        <v>0.15274399999999999</v>
      </c>
      <c r="AW37">
        <v>0.30530299999999999</v>
      </c>
      <c r="AX37">
        <v>0.63133399999999995</v>
      </c>
      <c r="AY37">
        <v>1.21956</v>
      </c>
      <c r="AZ37">
        <v>2.4541200000000001</v>
      </c>
      <c r="BA37">
        <v>4.9287299999999998</v>
      </c>
      <c r="BB37">
        <v>9.7781199999999995</v>
      </c>
    </row>
    <row r="38" spans="1:54" x14ac:dyDescent="0.25">
      <c r="A38">
        <v>1.6994E-3</v>
      </c>
      <c r="B38">
        <v>1.6586999999999999E-3</v>
      </c>
      <c r="C38">
        <v>1.6655000000000001E-3</v>
      </c>
      <c r="D38">
        <v>1.7094E-3</v>
      </c>
      <c r="E38">
        <v>1.9113000000000001E-3</v>
      </c>
      <c r="F38">
        <v>1.9497E-3</v>
      </c>
      <c r="G38">
        <v>2.7981999999999998E-3</v>
      </c>
      <c r="H38">
        <v>4.1316E-3</v>
      </c>
      <c r="I38">
        <v>5.9151999999999998E-3</v>
      </c>
      <c r="J38">
        <v>1.0204700000000001E-2</v>
      </c>
      <c r="K38">
        <v>1.8527700000000001E-2</v>
      </c>
      <c r="L38">
        <v>3.5519299999999997E-2</v>
      </c>
      <c r="M38">
        <v>6.9373799999999999E-2</v>
      </c>
      <c r="N38">
        <v>0.13661000000000001</v>
      </c>
      <c r="O38">
        <v>0.27309499999999998</v>
      </c>
      <c r="P38">
        <v>0.54783099999999996</v>
      </c>
      <c r="Q38">
        <v>5.5005999999999996E-3</v>
      </c>
      <c r="R38">
        <v>1.06106E-2</v>
      </c>
      <c r="S38">
        <v>2.3777900000000001E-2</v>
      </c>
      <c r="T38">
        <v>4.3799100000000001E-2</v>
      </c>
      <c r="U38">
        <v>8.2069100000000006E-2</v>
      </c>
      <c r="V38">
        <v>0.16659299999999999</v>
      </c>
      <c r="W38">
        <v>0.33876899999999999</v>
      </c>
      <c r="X38">
        <v>0.67495099999999997</v>
      </c>
      <c r="Y38">
        <v>1.3533999999999999</v>
      </c>
      <c r="Z38">
        <v>2.7280000000000002</v>
      </c>
      <c r="AA38">
        <v>5.4035399999999996</v>
      </c>
      <c r="AB38">
        <v>1.2102E-3</v>
      </c>
      <c r="AC38">
        <v>1.2149999999999999E-3</v>
      </c>
      <c r="AD38">
        <v>1.2302999999999999E-3</v>
      </c>
      <c r="AE38">
        <v>1.4368E-3</v>
      </c>
      <c r="AF38">
        <v>1.3831E-3</v>
      </c>
      <c r="AG38">
        <v>1.7681000000000001E-3</v>
      </c>
      <c r="AH38">
        <v>2.5117999999999998E-3</v>
      </c>
      <c r="AI38">
        <v>3.8509E-3</v>
      </c>
      <c r="AJ38">
        <v>6.4701000000000003E-3</v>
      </c>
      <c r="AK38">
        <v>1.17512E-2</v>
      </c>
      <c r="AL38">
        <v>2.21575E-2</v>
      </c>
      <c r="AM38">
        <v>4.3132499999999997E-2</v>
      </c>
      <c r="AN38">
        <v>8.4818000000000005E-2</v>
      </c>
      <c r="AO38">
        <v>0.16902900000000001</v>
      </c>
      <c r="AP38">
        <v>0.338592</v>
      </c>
      <c r="AQ38">
        <v>0.67517300000000002</v>
      </c>
      <c r="AR38">
        <v>1.03646E-2</v>
      </c>
      <c r="AS38">
        <v>2.1398500000000001E-2</v>
      </c>
      <c r="AT38">
        <v>4.0086999999999998E-2</v>
      </c>
      <c r="AU38">
        <v>7.7509499999999995E-2</v>
      </c>
      <c r="AV38">
        <v>0.149893</v>
      </c>
      <c r="AW38">
        <v>0.30589499999999997</v>
      </c>
      <c r="AX38">
        <v>0.62725299999999995</v>
      </c>
      <c r="AY38">
        <v>1.24925</v>
      </c>
      <c r="AZ38">
        <v>2.5014400000000001</v>
      </c>
      <c r="BA38">
        <v>4.9192099999999996</v>
      </c>
      <c r="BB38">
        <v>9.8632799999999996</v>
      </c>
    </row>
    <row r="39" spans="1:54" x14ac:dyDescent="0.25">
      <c r="A39">
        <v>1.7205E-3</v>
      </c>
      <c r="B39">
        <v>1.6199000000000001E-3</v>
      </c>
      <c r="C39">
        <v>1.6217E-3</v>
      </c>
      <c r="D39">
        <v>1.7293E-3</v>
      </c>
      <c r="E39">
        <v>1.9226E-3</v>
      </c>
      <c r="F39">
        <v>2.1129999999999999E-3</v>
      </c>
      <c r="G39">
        <v>2.6140999999999998E-3</v>
      </c>
      <c r="H39">
        <v>3.8931999999999999E-3</v>
      </c>
      <c r="I39">
        <v>5.9477999999999996E-3</v>
      </c>
      <c r="J39">
        <v>1.02442E-2</v>
      </c>
      <c r="K39">
        <v>1.8973500000000001E-2</v>
      </c>
      <c r="L39">
        <v>3.5353000000000002E-2</v>
      </c>
      <c r="M39">
        <v>6.93714E-2</v>
      </c>
      <c r="N39">
        <v>0.136654</v>
      </c>
      <c r="O39">
        <v>0.27322099999999999</v>
      </c>
      <c r="P39">
        <v>0.54763399999999995</v>
      </c>
      <c r="Q39">
        <v>5.3993000000000001E-3</v>
      </c>
      <c r="R39">
        <v>1.0947999999999999E-2</v>
      </c>
      <c r="S39">
        <v>2.3102600000000001E-2</v>
      </c>
      <c r="T39">
        <v>4.2410700000000003E-2</v>
      </c>
      <c r="U39">
        <v>8.7660500000000002E-2</v>
      </c>
      <c r="V39">
        <v>0.16659199999999999</v>
      </c>
      <c r="W39">
        <v>0.34155799999999997</v>
      </c>
      <c r="X39">
        <v>0.68267100000000003</v>
      </c>
      <c r="Y39">
        <v>1.3352299999999999</v>
      </c>
      <c r="Z39">
        <v>2.6796099999999998</v>
      </c>
      <c r="AA39">
        <v>5.4675799999999999</v>
      </c>
      <c r="AB39">
        <v>1.3248999999999999E-3</v>
      </c>
      <c r="AC39">
        <v>1.3370000000000001E-3</v>
      </c>
      <c r="AD39">
        <v>1.2489999999999999E-3</v>
      </c>
      <c r="AE39">
        <v>1.5704E-3</v>
      </c>
      <c r="AF39">
        <v>1.3829999999999999E-3</v>
      </c>
      <c r="AG39">
        <v>1.6601999999999999E-3</v>
      </c>
      <c r="AH39">
        <v>2.5025E-3</v>
      </c>
      <c r="AI39">
        <v>3.8620999999999998E-3</v>
      </c>
      <c r="AJ39">
        <v>6.5009000000000004E-3</v>
      </c>
      <c r="AK39">
        <v>1.1717999999999999E-2</v>
      </c>
      <c r="AL39">
        <v>2.22334E-2</v>
      </c>
      <c r="AM39">
        <v>4.3308600000000003E-2</v>
      </c>
      <c r="AN39">
        <v>8.4820699999999999E-2</v>
      </c>
      <c r="AO39">
        <v>0.16916500000000001</v>
      </c>
      <c r="AP39">
        <v>0.33858500000000002</v>
      </c>
      <c r="AQ39">
        <v>0.67515499999999995</v>
      </c>
      <c r="AR39">
        <v>1.0359E-2</v>
      </c>
      <c r="AS39">
        <v>2.0484200000000001E-2</v>
      </c>
      <c r="AT39">
        <v>3.8969799999999999E-2</v>
      </c>
      <c r="AU39">
        <v>7.8026600000000002E-2</v>
      </c>
      <c r="AV39">
        <v>0.15404000000000001</v>
      </c>
      <c r="AW39">
        <v>0.30577399999999999</v>
      </c>
      <c r="AX39">
        <v>0.614645</v>
      </c>
      <c r="AY39">
        <v>1.2076499999999999</v>
      </c>
      <c r="AZ39">
        <v>2.4942000000000002</v>
      </c>
      <c r="BA39">
        <v>4.8442800000000004</v>
      </c>
      <c r="BB39">
        <v>9.8738700000000001</v>
      </c>
    </row>
    <row r="40" spans="1:54" x14ac:dyDescent="0.25">
      <c r="A40">
        <v>1.7358E-3</v>
      </c>
      <c r="B40">
        <v>1.6354E-3</v>
      </c>
      <c r="C40">
        <v>1.6626E-3</v>
      </c>
      <c r="D40">
        <v>1.6488E-3</v>
      </c>
      <c r="E40">
        <v>1.8622999999999999E-3</v>
      </c>
      <c r="F40">
        <v>1.9764000000000001E-3</v>
      </c>
      <c r="G40">
        <v>2.6002E-3</v>
      </c>
      <c r="H40">
        <v>3.8536E-3</v>
      </c>
      <c r="I40">
        <v>6.0499999999999998E-3</v>
      </c>
      <c r="J40">
        <v>1.0241699999999999E-2</v>
      </c>
      <c r="K40">
        <v>1.8641999999999999E-2</v>
      </c>
      <c r="L40">
        <v>3.5451900000000001E-2</v>
      </c>
      <c r="M40">
        <v>6.9331599999999993E-2</v>
      </c>
      <c r="N40">
        <v>0.136681</v>
      </c>
      <c r="O40">
        <v>0.27319500000000002</v>
      </c>
      <c r="P40">
        <v>0.54749599999999998</v>
      </c>
      <c r="Q40">
        <v>5.3114E-3</v>
      </c>
      <c r="R40">
        <v>1.10721E-2</v>
      </c>
      <c r="S40">
        <v>2.3453600000000002E-2</v>
      </c>
      <c r="T40">
        <v>4.5281200000000001E-2</v>
      </c>
      <c r="U40">
        <v>8.5502400000000006E-2</v>
      </c>
      <c r="V40">
        <v>0.165824</v>
      </c>
      <c r="W40">
        <v>0.33510699999999999</v>
      </c>
      <c r="X40">
        <v>0.67717899999999998</v>
      </c>
      <c r="Y40">
        <v>1.3406499999999999</v>
      </c>
      <c r="Z40">
        <v>2.6987100000000002</v>
      </c>
      <c r="AA40">
        <v>5.4271900000000004</v>
      </c>
      <c r="AB40">
        <v>1.3085E-3</v>
      </c>
      <c r="AC40">
        <v>1.2607E-3</v>
      </c>
      <c r="AD40">
        <v>1.3847E-3</v>
      </c>
      <c r="AE40">
        <v>1.3378000000000001E-3</v>
      </c>
      <c r="AF40">
        <v>1.5410999999999999E-3</v>
      </c>
      <c r="AG40">
        <v>2.0027000000000001E-3</v>
      </c>
      <c r="AH40">
        <v>2.4767999999999999E-3</v>
      </c>
      <c r="AI40">
        <v>3.8332000000000001E-3</v>
      </c>
      <c r="AJ40">
        <v>6.4859999999999996E-3</v>
      </c>
      <c r="AK40">
        <v>1.1889E-2</v>
      </c>
      <c r="AL40">
        <v>2.2101099999999999E-2</v>
      </c>
      <c r="AM40">
        <v>4.3051300000000001E-2</v>
      </c>
      <c r="AN40">
        <v>8.4672800000000006E-2</v>
      </c>
      <c r="AO40">
        <v>0.16908799999999999</v>
      </c>
      <c r="AP40">
        <v>0.33857799999999999</v>
      </c>
      <c r="AQ40">
        <v>0.675319</v>
      </c>
      <c r="AR40">
        <v>9.9877000000000004E-3</v>
      </c>
      <c r="AS40">
        <v>1.9843300000000001E-2</v>
      </c>
      <c r="AT40">
        <v>3.8504999999999998E-2</v>
      </c>
      <c r="AU40">
        <v>7.9113100000000006E-2</v>
      </c>
      <c r="AV40">
        <v>0.14826700000000001</v>
      </c>
      <c r="AW40">
        <v>0.30534800000000001</v>
      </c>
      <c r="AX40">
        <v>0.61180999999999996</v>
      </c>
      <c r="AY40">
        <v>1.2504599999999999</v>
      </c>
      <c r="AZ40">
        <v>2.4320300000000001</v>
      </c>
      <c r="BA40">
        <v>4.93161</v>
      </c>
      <c r="BB40">
        <v>9.7662300000000002</v>
      </c>
    </row>
    <row r="41" spans="1:54" x14ac:dyDescent="0.25">
      <c r="A41">
        <v>1.7960000000000001E-3</v>
      </c>
      <c r="B41">
        <v>1.6578999999999999E-3</v>
      </c>
      <c r="C41">
        <v>1.7653E-3</v>
      </c>
      <c r="D41">
        <v>1.6662000000000001E-3</v>
      </c>
      <c r="E41">
        <v>1.7006E-3</v>
      </c>
      <c r="F41">
        <v>1.9612000000000002E-3</v>
      </c>
      <c r="G41">
        <v>2.7081000000000002E-3</v>
      </c>
      <c r="H41">
        <v>3.8134000000000002E-3</v>
      </c>
      <c r="I41">
        <v>6.0692000000000003E-3</v>
      </c>
      <c r="J41">
        <v>1.0277100000000001E-2</v>
      </c>
      <c r="K41">
        <v>1.8669000000000002E-2</v>
      </c>
      <c r="L41">
        <v>3.5353799999999998E-2</v>
      </c>
      <c r="M41">
        <v>6.93777E-2</v>
      </c>
      <c r="N41">
        <v>0.13675200000000001</v>
      </c>
      <c r="O41">
        <v>0.27370699999999998</v>
      </c>
      <c r="P41">
        <v>0.54766599999999999</v>
      </c>
      <c r="Q41">
        <v>5.6857000000000001E-3</v>
      </c>
      <c r="R41">
        <v>1.0841999999999999E-2</v>
      </c>
      <c r="S41">
        <v>2.6925299999999999E-2</v>
      </c>
      <c r="T41">
        <v>4.2683600000000002E-2</v>
      </c>
      <c r="U41">
        <v>8.4296499999999996E-2</v>
      </c>
      <c r="V41">
        <v>0.17052200000000001</v>
      </c>
      <c r="W41">
        <v>0.33683999999999997</v>
      </c>
      <c r="X41">
        <v>0.66386999999999996</v>
      </c>
      <c r="Y41">
        <v>1.3529899999999999</v>
      </c>
      <c r="Z41">
        <v>2.7256800000000001</v>
      </c>
      <c r="AA41">
        <v>5.4020900000000003</v>
      </c>
      <c r="AB41">
        <v>1.3933000000000001E-3</v>
      </c>
      <c r="AC41">
        <v>1.2416E-3</v>
      </c>
      <c r="AD41">
        <v>1.2340000000000001E-3</v>
      </c>
      <c r="AE41">
        <v>1.3006000000000001E-3</v>
      </c>
      <c r="AF41">
        <v>1.3932E-3</v>
      </c>
      <c r="AG41">
        <v>1.9039E-3</v>
      </c>
      <c r="AH41">
        <v>2.5441999999999999E-3</v>
      </c>
      <c r="AI41">
        <v>3.7931000000000002E-3</v>
      </c>
      <c r="AJ41">
        <v>6.5242E-3</v>
      </c>
      <c r="AK41">
        <v>1.1831700000000001E-2</v>
      </c>
      <c r="AL41">
        <v>2.2053300000000001E-2</v>
      </c>
      <c r="AM41">
        <v>4.3075000000000002E-2</v>
      </c>
      <c r="AN41">
        <v>8.4726200000000002E-2</v>
      </c>
      <c r="AO41">
        <v>0.16894999999999999</v>
      </c>
      <c r="AP41">
        <v>0.33842299999999997</v>
      </c>
      <c r="AQ41">
        <v>0.675091</v>
      </c>
      <c r="AR41">
        <v>9.8119999999999995E-3</v>
      </c>
      <c r="AS41">
        <v>1.9241500000000002E-2</v>
      </c>
      <c r="AT41">
        <v>4.04447E-2</v>
      </c>
      <c r="AU41">
        <v>7.9544400000000001E-2</v>
      </c>
      <c r="AV41">
        <v>0.153669</v>
      </c>
      <c r="AW41">
        <v>0.30451499999999998</v>
      </c>
      <c r="AX41">
        <v>0.608572</v>
      </c>
      <c r="AY41">
        <v>1.2398899999999999</v>
      </c>
      <c r="AZ41">
        <v>2.4553199999999999</v>
      </c>
      <c r="BA41">
        <v>4.9432200000000002</v>
      </c>
      <c r="BB41">
        <v>9.8095199999999991</v>
      </c>
    </row>
    <row r="42" spans="1:54" x14ac:dyDescent="0.25">
      <c r="A42">
        <v>1.7102E-3</v>
      </c>
      <c r="B42">
        <v>1.8400000000000001E-3</v>
      </c>
      <c r="C42">
        <v>1.8142E-3</v>
      </c>
      <c r="D42">
        <v>1.6952E-3</v>
      </c>
      <c r="E42">
        <v>1.7365E-3</v>
      </c>
      <c r="F42">
        <v>1.9835999999999999E-3</v>
      </c>
      <c r="G42">
        <v>2.5352E-3</v>
      </c>
      <c r="H42">
        <v>3.9613000000000001E-3</v>
      </c>
      <c r="I42">
        <v>6.1570000000000001E-3</v>
      </c>
      <c r="J42">
        <v>1.02343E-2</v>
      </c>
      <c r="K42">
        <v>1.8828399999999999E-2</v>
      </c>
      <c r="L42">
        <v>3.5659999999999997E-2</v>
      </c>
      <c r="M42">
        <v>6.9327600000000003E-2</v>
      </c>
      <c r="N42">
        <v>0.136714</v>
      </c>
      <c r="O42">
        <v>0.27364899999999998</v>
      </c>
      <c r="P42">
        <v>0.54769500000000004</v>
      </c>
      <c r="Q42">
        <v>5.3058000000000003E-3</v>
      </c>
      <c r="R42">
        <v>1.0427799999999999E-2</v>
      </c>
      <c r="S42">
        <v>2.85521E-2</v>
      </c>
      <c r="T42">
        <v>4.3304500000000003E-2</v>
      </c>
      <c r="U42">
        <v>8.4351599999999999E-2</v>
      </c>
      <c r="V42">
        <v>0.168378</v>
      </c>
      <c r="W42">
        <v>0.331488</v>
      </c>
      <c r="X42">
        <v>0.677651</v>
      </c>
      <c r="Y42">
        <v>1.36233</v>
      </c>
      <c r="Z42">
        <v>2.74085</v>
      </c>
      <c r="AA42">
        <v>5.4863999999999997</v>
      </c>
      <c r="AB42">
        <v>1.2366E-3</v>
      </c>
      <c r="AC42">
        <v>1.2911999999999999E-3</v>
      </c>
      <c r="AD42">
        <v>1.2283000000000001E-3</v>
      </c>
      <c r="AE42">
        <v>1.3328000000000001E-3</v>
      </c>
      <c r="AF42">
        <v>1.4040000000000001E-3</v>
      </c>
      <c r="AG42">
        <v>1.7351000000000001E-3</v>
      </c>
      <c r="AH42">
        <v>2.5187E-3</v>
      </c>
      <c r="AI42">
        <v>3.803E-3</v>
      </c>
      <c r="AJ42">
        <v>6.7140000000000003E-3</v>
      </c>
      <c r="AK42">
        <v>1.1618E-2</v>
      </c>
      <c r="AL42">
        <v>2.2065499999999998E-2</v>
      </c>
      <c r="AM42">
        <v>4.3208900000000001E-2</v>
      </c>
      <c r="AN42">
        <v>8.4825200000000003E-2</v>
      </c>
      <c r="AO42">
        <v>0.16889999999999999</v>
      </c>
      <c r="AP42">
        <v>0.33857599999999999</v>
      </c>
      <c r="AQ42">
        <v>0.67518199999999995</v>
      </c>
      <c r="AR42">
        <v>1.0168099999999999E-2</v>
      </c>
      <c r="AS42">
        <v>1.9611699999999999E-2</v>
      </c>
      <c r="AT42">
        <v>3.9402300000000001E-2</v>
      </c>
      <c r="AU42">
        <v>7.4412800000000001E-2</v>
      </c>
      <c r="AV42">
        <v>0.15090999999999999</v>
      </c>
      <c r="AW42">
        <v>0.31051899999999999</v>
      </c>
      <c r="AX42">
        <v>0.60911000000000004</v>
      </c>
      <c r="AY42">
        <v>1.2182599999999999</v>
      </c>
      <c r="AZ42">
        <v>2.4838200000000001</v>
      </c>
      <c r="BA42">
        <v>4.8959299999999999</v>
      </c>
      <c r="BB42">
        <v>9.7731399999999997</v>
      </c>
    </row>
    <row r="43" spans="1:54" x14ac:dyDescent="0.25">
      <c r="A43">
        <v>1.6439E-3</v>
      </c>
      <c r="B43">
        <v>1.7750999999999999E-3</v>
      </c>
      <c r="C43">
        <v>1.8186000000000001E-3</v>
      </c>
      <c r="D43">
        <v>1.7474999999999999E-3</v>
      </c>
      <c r="E43">
        <v>1.737E-3</v>
      </c>
      <c r="F43">
        <v>2.0741000000000002E-3</v>
      </c>
      <c r="G43">
        <v>2.6435E-3</v>
      </c>
      <c r="H43">
        <v>3.9864999999999996E-3</v>
      </c>
      <c r="I43">
        <v>5.9525000000000003E-3</v>
      </c>
      <c r="J43">
        <v>1.0215E-2</v>
      </c>
      <c r="K43">
        <v>1.8683000000000002E-2</v>
      </c>
      <c r="L43">
        <v>3.5435899999999999E-2</v>
      </c>
      <c r="M43">
        <v>6.9424399999999997E-2</v>
      </c>
      <c r="N43">
        <v>0.13696700000000001</v>
      </c>
      <c r="O43">
        <v>0.27332499999999998</v>
      </c>
      <c r="P43">
        <v>0.54750900000000002</v>
      </c>
      <c r="Q43">
        <v>5.2814000000000003E-3</v>
      </c>
      <c r="R43">
        <v>1.1018699999999999E-2</v>
      </c>
      <c r="S43">
        <v>2.3406799999999998E-2</v>
      </c>
      <c r="T43">
        <v>4.2963599999999998E-2</v>
      </c>
      <c r="U43">
        <v>8.4610099999999994E-2</v>
      </c>
      <c r="V43">
        <v>0.17163400000000001</v>
      </c>
      <c r="W43">
        <v>0.33156799999999997</v>
      </c>
      <c r="X43">
        <v>0.67653099999999999</v>
      </c>
      <c r="Y43">
        <v>1.35354</v>
      </c>
      <c r="Z43">
        <v>2.6874699999999998</v>
      </c>
      <c r="AA43">
        <v>5.3681200000000002</v>
      </c>
      <c r="AB43">
        <v>1.2759E-3</v>
      </c>
      <c r="AC43">
        <v>1.1987E-3</v>
      </c>
      <c r="AD43">
        <v>1.1921E-3</v>
      </c>
      <c r="AE43">
        <v>1.2572E-3</v>
      </c>
      <c r="AF43">
        <v>1.4890999999999999E-3</v>
      </c>
      <c r="AG43">
        <v>1.8458000000000001E-3</v>
      </c>
      <c r="AH43">
        <v>2.5595000000000001E-3</v>
      </c>
      <c r="AI43">
        <v>3.9099E-3</v>
      </c>
      <c r="AJ43">
        <v>6.5614000000000002E-3</v>
      </c>
      <c r="AK43">
        <v>1.19519E-2</v>
      </c>
      <c r="AL43">
        <v>2.2319800000000001E-2</v>
      </c>
      <c r="AM43">
        <v>4.3203499999999999E-2</v>
      </c>
      <c r="AN43">
        <v>8.4838499999999997E-2</v>
      </c>
      <c r="AO43">
        <v>0.168906</v>
      </c>
      <c r="AP43">
        <v>0.33862500000000001</v>
      </c>
      <c r="AQ43">
        <v>0.67537100000000005</v>
      </c>
      <c r="AR43">
        <v>9.4544999999999994E-3</v>
      </c>
      <c r="AS43">
        <v>1.9829200000000002E-2</v>
      </c>
      <c r="AT43">
        <v>3.9491900000000003E-2</v>
      </c>
      <c r="AU43">
        <v>7.7471300000000007E-2</v>
      </c>
      <c r="AV43">
        <v>0.14955499999999999</v>
      </c>
      <c r="AW43">
        <v>0.31046200000000002</v>
      </c>
      <c r="AX43">
        <v>0.60369600000000001</v>
      </c>
      <c r="AY43">
        <v>1.2498100000000001</v>
      </c>
      <c r="AZ43">
        <v>2.4483100000000002</v>
      </c>
      <c r="BA43">
        <v>4.92035</v>
      </c>
      <c r="BB43">
        <v>9.8536699999999993</v>
      </c>
    </row>
    <row r="44" spans="1:54" x14ac:dyDescent="0.25">
      <c r="A44">
        <v>1.683E-3</v>
      </c>
      <c r="B44">
        <v>1.7328000000000001E-3</v>
      </c>
      <c r="C44">
        <v>1.9337E-3</v>
      </c>
      <c r="D44">
        <v>1.7409000000000001E-3</v>
      </c>
      <c r="E44">
        <v>1.7080000000000001E-3</v>
      </c>
      <c r="F44">
        <v>1.9780000000000002E-3</v>
      </c>
      <c r="G44">
        <v>2.8849000000000001E-3</v>
      </c>
      <c r="H44">
        <v>4.0277000000000004E-3</v>
      </c>
      <c r="I44">
        <v>6.4450999999999996E-3</v>
      </c>
      <c r="J44">
        <v>1.0247300000000001E-2</v>
      </c>
      <c r="K44">
        <v>1.8454999999999999E-2</v>
      </c>
      <c r="L44">
        <v>3.5632700000000003E-2</v>
      </c>
      <c r="M44">
        <v>6.9475599999999998E-2</v>
      </c>
      <c r="N44">
        <v>0.13677900000000001</v>
      </c>
      <c r="O44">
        <v>0.27343600000000001</v>
      </c>
      <c r="P44">
        <v>0.54752000000000001</v>
      </c>
      <c r="Q44">
        <v>5.3664000000000003E-3</v>
      </c>
      <c r="R44">
        <v>1.05752E-2</v>
      </c>
      <c r="S44">
        <v>2.2505899999999999E-2</v>
      </c>
      <c r="T44">
        <v>4.48162E-2</v>
      </c>
      <c r="U44">
        <v>8.4639400000000004E-2</v>
      </c>
      <c r="V44">
        <v>0.17164699999999999</v>
      </c>
      <c r="W44">
        <v>0.33583200000000002</v>
      </c>
      <c r="X44">
        <v>0.66958200000000001</v>
      </c>
      <c r="Y44">
        <v>1.35368</v>
      </c>
      <c r="Z44">
        <v>2.6558099999999998</v>
      </c>
      <c r="AA44">
        <v>5.4185400000000001</v>
      </c>
      <c r="AB44">
        <v>1.2401000000000001E-3</v>
      </c>
      <c r="AC44">
        <v>1.2524999999999999E-3</v>
      </c>
      <c r="AD44">
        <v>1.2137000000000001E-3</v>
      </c>
      <c r="AE44">
        <v>1.32E-3</v>
      </c>
      <c r="AF44">
        <v>1.4371E-3</v>
      </c>
      <c r="AG44">
        <v>1.8766E-3</v>
      </c>
      <c r="AH44">
        <v>2.6061999999999999E-3</v>
      </c>
      <c r="AI44">
        <v>3.8441999999999999E-3</v>
      </c>
      <c r="AJ44">
        <v>6.6111E-3</v>
      </c>
      <c r="AK44">
        <v>1.17482E-2</v>
      </c>
      <c r="AL44">
        <v>2.2224500000000001E-2</v>
      </c>
      <c r="AM44">
        <v>4.3150300000000003E-2</v>
      </c>
      <c r="AN44">
        <v>8.4738599999999997E-2</v>
      </c>
      <c r="AO44">
        <v>0.169044</v>
      </c>
      <c r="AP44">
        <v>0.33854200000000001</v>
      </c>
      <c r="AQ44">
        <v>0.67522400000000005</v>
      </c>
      <c r="AR44">
        <v>9.9094999999999999E-3</v>
      </c>
      <c r="AS44">
        <v>2.00281E-2</v>
      </c>
      <c r="AT44">
        <v>3.95118E-2</v>
      </c>
      <c r="AU44">
        <v>7.8298599999999996E-2</v>
      </c>
      <c r="AV44">
        <v>0.15428800000000001</v>
      </c>
      <c r="AW44">
        <v>0.29996299999999998</v>
      </c>
      <c r="AX44">
        <v>0.61999499999999996</v>
      </c>
      <c r="AY44">
        <v>1.19364</v>
      </c>
      <c r="AZ44">
        <v>2.4399299999999999</v>
      </c>
      <c r="BA44">
        <v>4.9698599999999997</v>
      </c>
      <c r="BB44">
        <v>9.7819800000000008</v>
      </c>
    </row>
    <row r="45" spans="1:54" x14ac:dyDescent="0.25">
      <c r="A45">
        <v>1.6192999999999999E-3</v>
      </c>
      <c r="B45">
        <v>1.6835999999999999E-3</v>
      </c>
      <c r="C45">
        <v>1.73E-3</v>
      </c>
      <c r="D45">
        <v>1.6398999999999999E-3</v>
      </c>
      <c r="E45">
        <v>1.7531000000000001E-3</v>
      </c>
      <c r="F45">
        <v>1.9804000000000002E-3</v>
      </c>
      <c r="G45">
        <v>3.0192000000000001E-3</v>
      </c>
      <c r="H45">
        <v>3.9779999999999998E-3</v>
      </c>
      <c r="I45">
        <v>6.1171000000000003E-3</v>
      </c>
      <c r="J45">
        <v>1.0260399999999999E-2</v>
      </c>
      <c r="K45">
        <v>1.8822800000000001E-2</v>
      </c>
      <c r="L45">
        <v>3.5691199999999999E-2</v>
      </c>
      <c r="M45">
        <v>6.9315699999999994E-2</v>
      </c>
      <c r="N45">
        <v>0.13675100000000001</v>
      </c>
      <c r="O45">
        <v>0.27335100000000001</v>
      </c>
      <c r="P45">
        <v>0.54754199999999997</v>
      </c>
      <c r="Q45">
        <v>5.3457000000000001E-3</v>
      </c>
      <c r="R45">
        <v>1.0577E-2</v>
      </c>
      <c r="S45">
        <v>2.3209899999999999E-2</v>
      </c>
      <c r="T45">
        <v>4.3950999999999997E-2</v>
      </c>
      <c r="U45">
        <v>8.8011500000000006E-2</v>
      </c>
      <c r="V45">
        <v>0.17283699999999999</v>
      </c>
      <c r="W45">
        <v>0.34494399999999997</v>
      </c>
      <c r="X45">
        <v>0.68337099999999995</v>
      </c>
      <c r="Y45">
        <v>1.3955599999999999</v>
      </c>
      <c r="Z45">
        <v>2.7210999999999999</v>
      </c>
      <c r="AA45">
        <v>5.4591900000000004</v>
      </c>
      <c r="AB45">
        <v>1.2518E-3</v>
      </c>
      <c r="AC45">
        <v>1.3217999999999999E-3</v>
      </c>
      <c r="AD45">
        <v>1.1913E-3</v>
      </c>
      <c r="AE45">
        <v>1.2358E-3</v>
      </c>
      <c r="AF45">
        <v>1.3894000000000001E-3</v>
      </c>
      <c r="AG45">
        <v>2.1392999999999998E-3</v>
      </c>
      <c r="AH45">
        <v>2.5412999999999998E-3</v>
      </c>
      <c r="AI45">
        <v>3.7965E-3</v>
      </c>
      <c r="AJ45">
        <v>6.6024999999999999E-3</v>
      </c>
      <c r="AK45">
        <v>1.19221E-2</v>
      </c>
      <c r="AL45">
        <v>2.2192400000000001E-2</v>
      </c>
      <c r="AM45">
        <v>4.3135300000000001E-2</v>
      </c>
      <c r="AN45">
        <v>8.4906800000000004E-2</v>
      </c>
      <c r="AO45">
        <v>0.169074</v>
      </c>
      <c r="AP45">
        <v>0.33874100000000001</v>
      </c>
      <c r="AQ45">
        <v>0.67530599999999996</v>
      </c>
      <c r="AR45">
        <v>1.0219199999999999E-2</v>
      </c>
      <c r="AS45">
        <v>1.9453399999999999E-2</v>
      </c>
      <c r="AT45">
        <v>3.9229800000000002E-2</v>
      </c>
      <c r="AU45">
        <v>8.1644800000000003E-2</v>
      </c>
      <c r="AV45">
        <v>0.16025400000000001</v>
      </c>
      <c r="AW45">
        <v>0.32665100000000002</v>
      </c>
      <c r="AX45">
        <v>0.60806199999999999</v>
      </c>
      <c r="AY45">
        <v>1.21743</v>
      </c>
      <c r="AZ45">
        <v>2.49221</v>
      </c>
      <c r="BA45">
        <v>4.8644999999999996</v>
      </c>
      <c r="BB45">
        <v>9.7768499999999996</v>
      </c>
    </row>
    <row r="46" spans="1:54" x14ac:dyDescent="0.25">
      <c r="A46">
        <v>1.6439E-3</v>
      </c>
      <c r="B46">
        <v>1.6867E-3</v>
      </c>
      <c r="C46">
        <v>1.6881999999999999E-3</v>
      </c>
      <c r="D46">
        <v>1.6984999999999999E-3</v>
      </c>
      <c r="E46">
        <v>1.7195999999999999E-3</v>
      </c>
      <c r="F46">
        <v>2.1641E-3</v>
      </c>
      <c r="G46">
        <v>2.8724000000000002E-3</v>
      </c>
      <c r="H46">
        <v>3.6952999999999999E-3</v>
      </c>
      <c r="I46">
        <v>6.0732E-3</v>
      </c>
      <c r="J46">
        <v>1.02819E-2</v>
      </c>
      <c r="K46">
        <v>1.8818700000000001E-2</v>
      </c>
      <c r="L46">
        <v>3.5529199999999997E-2</v>
      </c>
      <c r="M46">
        <v>6.9527699999999998E-2</v>
      </c>
      <c r="N46">
        <v>0.13697100000000001</v>
      </c>
      <c r="O46">
        <v>0.27328000000000002</v>
      </c>
      <c r="P46">
        <v>0.54771999999999998</v>
      </c>
      <c r="Q46">
        <v>5.1839E-3</v>
      </c>
      <c r="R46">
        <v>1.09128E-2</v>
      </c>
      <c r="S46">
        <v>2.6201200000000001E-2</v>
      </c>
      <c r="T46">
        <v>4.4977400000000001E-2</v>
      </c>
      <c r="U46">
        <v>8.4364099999999997E-2</v>
      </c>
      <c r="V46">
        <v>0.16763800000000001</v>
      </c>
      <c r="W46">
        <v>0.34300000000000003</v>
      </c>
      <c r="X46">
        <v>0.69059400000000004</v>
      </c>
      <c r="Y46">
        <v>1.3444100000000001</v>
      </c>
      <c r="Z46">
        <v>2.71827</v>
      </c>
      <c r="AA46">
        <v>5.4100799999999998</v>
      </c>
      <c r="AB46">
        <v>1.2042999999999999E-3</v>
      </c>
      <c r="AC46">
        <v>1.3604999999999999E-3</v>
      </c>
      <c r="AD46">
        <v>1.2365E-3</v>
      </c>
      <c r="AE46">
        <v>1.2759E-3</v>
      </c>
      <c r="AF46">
        <v>1.3979999999999999E-3</v>
      </c>
      <c r="AG46">
        <v>2.0100999999999999E-3</v>
      </c>
      <c r="AH46">
        <v>2.5232000000000002E-3</v>
      </c>
      <c r="AI46">
        <v>3.8149999999999998E-3</v>
      </c>
      <c r="AJ46">
        <v>6.5782999999999996E-3</v>
      </c>
      <c r="AK46">
        <v>1.16997E-2</v>
      </c>
      <c r="AL46">
        <v>2.2198099999999998E-2</v>
      </c>
      <c r="AM46">
        <v>4.29719E-2</v>
      </c>
      <c r="AN46">
        <v>8.4734199999999996E-2</v>
      </c>
      <c r="AO46">
        <v>0.16911300000000001</v>
      </c>
      <c r="AP46">
        <v>0.33851399999999998</v>
      </c>
      <c r="AQ46">
        <v>0.67527999999999999</v>
      </c>
      <c r="AR46">
        <v>9.6763000000000005E-3</v>
      </c>
      <c r="AS46">
        <v>1.8726099999999999E-2</v>
      </c>
      <c r="AT46">
        <v>3.9490200000000003E-2</v>
      </c>
      <c r="AU46">
        <v>7.8023700000000001E-2</v>
      </c>
      <c r="AV46">
        <v>0.15715299999999999</v>
      </c>
      <c r="AW46">
        <v>0.31795099999999998</v>
      </c>
      <c r="AX46">
        <v>0.59792800000000002</v>
      </c>
      <c r="AY46">
        <v>1.21959</v>
      </c>
      <c r="AZ46">
        <v>2.4223699999999999</v>
      </c>
      <c r="BA46">
        <v>4.8995899999999999</v>
      </c>
      <c r="BB46">
        <v>9.8100900000000006</v>
      </c>
    </row>
    <row r="47" spans="1:54" x14ac:dyDescent="0.25">
      <c r="A47">
        <v>1.5935999999999999E-3</v>
      </c>
      <c r="B47">
        <v>1.6661E-3</v>
      </c>
      <c r="C47">
        <v>1.6532000000000001E-3</v>
      </c>
      <c r="D47">
        <v>4.2031000000000004E-3</v>
      </c>
      <c r="E47">
        <v>1.887E-3</v>
      </c>
      <c r="F47">
        <v>2.5498000000000001E-3</v>
      </c>
      <c r="G47">
        <v>2.8511999999999999E-3</v>
      </c>
      <c r="H47">
        <v>3.9041000000000002E-3</v>
      </c>
      <c r="I47">
        <v>6.202E-3</v>
      </c>
      <c r="J47">
        <v>1.0337000000000001E-2</v>
      </c>
      <c r="K47">
        <v>1.8538300000000001E-2</v>
      </c>
      <c r="L47">
        <v>3.5676399999999997E-2</v>
      </c>
      <c r="M47">
        <v>6.9419599999999998E-2</v>
      </c>
      <c r="N47">
        <v>0.13675699999999999</v>
      </c>
      <c r="O47">
        <v>0.27319500000000002</v>
      </c>
      <c r="P47">
        <v>0.54747400000000002</v>
      </c>
      <c r="Q47">
        <v>5.4397999999999998E-3</v>
      </c>
      <c r="R47">
        <v>1.1006699999999999E-2</v>
      </c>
      <c r="S47">
        <v>2.47391E-2</v>
      </c>
      <c r="T47">
        <v>4.4813600000000002E-2</v>
      </c>
      <c r="U47">
        <v>8.6678199999999997E-2</v>
      </c>
      <c r="V47">
        <v>0.17049700000000001</v>
      </c>
      <c r="W47">
        <v>0.34109400000000001</v>
      </c>
      <c r="X47">
        <v>0.67249300000000001</v>
      </c>
      <c r="Y47">
        <v>1.3537300000000001</v>
      </c>
      <c r="Z47">
        <v>2.6856800000000001</v>
      </c>
      <c r="AA47">
        <v>5.4199099999999998</v>
      </c>
      <c r="AB47">
        <v>1.2057000000000001E-3</v>
      </c>
      <c r="AC47">
        <v>1.2668E-3</v>
      </c>
      <c r="AD47">
        <v>1.2359999999999999E-3</v>
      </c>
      <c r="AE47">
        <v>1.2991999999999999E-3</v>
      </c>
      <c r="AF47">
        <v>1.3966E-3</v>
      </c>
      <c r="AG47">
        <v>2.1274000000000002E-3</v>
      </c>
      <c r="AH47">
        <v>2.4941999999999998E-3</v>
      </c>
      <c r="AI47">
        <v>3.9094000000000004E-3</v>
      </c>
      <c r="AJ47">
        <v>6.4590000000000003E-3</v>
      </c>
      <c r="AK47">
        <v>1.17473E-2</v>
      </c>
      <c r="AL47">
        <v>2.21196E-2</v>
      </c>
      <c r="AM47">
        <v>4.31828E-2</v>
      </c>
      <c r="AN47">
        <v>8.4860400000000002E-2</v>
      </c>
      <c r="AO47">
        <v>0.16903299999999999</v>
      </c>
      <c r="AP47">
        <v>0.33857700000000002</v>
      </c>
      <c r="AQ47">
        <v>0.67530000000000001</v>
      </c>
      <c r="AR47">
        <v>1.0017699999999999E-2</v>
      </c>
      <c r="AS47">
        <v>1.9708900000000001E-2</v>
      </c>
      <c r="AT47">
        <v>4.2144000000000001E-2</v>
      </c>
      <c r="AU47">
        <v>7.6722799999999994E-2</v>
      </c>
      <c r="AV47">
        <v>0.15564</v>
      </c>
      <c r="AW47">
        <v>0.29548600000000003</v>
      </c>
      <c r="AX47">
        <v>0.60549699999999995</v>
      </c>
      <c r="AY47">
        <v>1.22339</v>
      </c>
      <c r="AZ47">
        <v>2.4692699999999999</v>
      </c>
      <c r="BA47">
        <v>4.8674400000000002</v>
      </c>
      <c r="BB47">
        <v>9.7935300000000005</v>
      </c>
    </row>
    <row r="48" spans="1:54" x14ac:dyDescent="0.25">
      <c r="A48">
        <v>1.6567000000000001E-3</v>
      </c>
      <c r="B48">
        <v>1.6676E-3</v>
      </c>
      <c r="C48">
        <v>1.6636000000000001E-3</v>
      </c>
      <c r="D48">
        <v>1.8821E-3</v>
      </c>
      <c r="E48">
        <v>1.8190000000000001E-3</v>
      </c>
      <c r="F48">
        <v>2.5376000000000001E-3</v>
      </c>
      <c r="G48">
        <v>2.8094999999999999E-3</v>
      </c>
      <c r="H48">
        <v>3.8479E-3</v>
      </c>
      <c r="I48">
        <v>6.1863999999999999E-3</v>
      </c>
      <c r="J48">
        <v>1.0308100000000001E-2</v>
      </c>
      <c r="K48">
        <v>1.8624399999999999E-2</v>
      </c>
      <c r="L48">
        <v>3.55597E-2</v>
      </c>
      <c r="M48">
        <v>6.9458900000000004E-2</v>
      </c>
      <c r="N48">
        <v>0.13667799999999999</v>
      </c>
      <c r="O48">
        <v>0.27332800000000002</v>
      </c>
      <c r="P48">
        <v>0.547342</v>
      </c>
      <c r="Q48">
        <v>5.5529999999999998E-3</v>
      </c>
      <c r="R48">
        <v>1.1173799999999999E-2</v>
      </c>
      <c r="S48">
        <v>2.4742799999999999E-2</v>
      </c>
      <c r="T48">
        <v>4.3063700000000003E-2</v>
      </c>
      <c r="U48">
        <v>8.6506600000000003E-2</v>
      </c>
      <c r="V48">
        <v>0.168688</v>
      </c>
      <c r="W48">
        <v>0.33707700000000002</v>
      </c>
      <c r="X48">
        <v>0.67906</v>
      </c>
      <c r="Y48">
        <v>1.3744400000000001</v>
      </c>
      <c r="Z48">
        <v>2.7331300000000001</v>
      </c>
      <c r="AA48">
        <v>5.44916</v>
      </c>
      <c r="AB48">
        <v>1.2205E-3</v>
      </c>
      <c r="AC48">
        <v>1.3564E-3</v>
      </c>
      <c r="AD48">
        <v>1.2381E-3</v>
      </c>
      <c r="AE48">
        <v>1.3010000000000001E-3</v>
      </c>
      <c r="AF48">
        <v>1.4166000000000001E-3</v>
      </c>
      <c r="AG48">
        <v>2.1679999999999998E-3</v>
      </c>
      <c r="AH48">
        <v>2.5333999999999999E-3</v>
      </c>
      <c r="AI48">
        <v>3.9259999999999998E-3</v>
      </c>
      <c r="AJ48">
        <v>6.5379000000000001E-3</v>
      </c>
      <c r="AK48">
        <v>1.17225E-2</v>
      </c>
      <c r="AL48">
        <v>2.21003E-2</v>
      </c>
      <c r="AM48">
        <v>4.3024E-2</v>
      </c>
      <c r="AN48">
        <v>8.4791500000000006E-2</v>
      </c>
      <c r="AO48">
        <v>0.16899600000000001</v>
      </c>
      <c r="AP48">
        <v>0.33866600000000002</v>
      </c>
      <c r="AQ48">
        <v>0.675122</v>
      </c>
      <c r="AR48">
        <v>9.8790000000000006E-3</v>
      </c>
      <c r="AS48">
        <v>1.9299899999999998E-2</v>
      </c>
      <c r="AT48">
        <v>4.0693800000000002E-2</v>
      </c>
      <c r="AU48">
        <v>7.4662999999999993E-2</v>
      </c>
      <c r="AV48">
        <v>0.15235799999999999</v>
      </c>
      <c r="AW48">
        <v>0.30199199999999998</v>
      </c>
      <c r="AX48">
        <v>0.60489800000000005</v>
      </c>
      <c r="AY48">
        <v>1.21323</v>
      </c>
      <c r="AZ48">
        <v>2.4480599999999999</v>
      </c>
      <c r="BA48">
        <v>4.8720699999999999</v>
      </c>
      <c r="BB48">
        <v>9.8356399999999997</v>
      </c>
    </row>
    <row r="49" spans="1:54" x14ac:dyDescent="0.25">
      <c r="A49">
        <v>1.6513000000000001E-3</v>
      </c>
      <c r="B49">
        <v>1.6463999999999999E-3</v>
      </c>
      <c r="C49">
        <v>1.6597999999999999E-3</v>
      </c>
      <c r="D49">
        <v>1.8427999999999999E-3</v>
      </c>
      <c r="E49">
        <v>1.6988000000000001E-3</v>
      </c>
      <c r="F49">
        <v>2.3947E-3</v>
      </c>
      <c r="G49">
        <v>2.8489000000000001E-3</v>
      </c>
      <c r="H49">
        <v>3.8511999999999999E-3</v>
      </c>
      <c r="I49">
        <v>6.1031999999999996E-3</v>
      </c>
      <c r="J49">
        <v>1.0237E-2</v>
      </c>
      <c r="K49">
        <v>1.8648000000000001E-2</v>
      </c>
      <c r="L49">
        <v>3.53452E-2</v>
      </c>
      <c r="M49">
        <v>6.9490999999999997E-2</v>
      </c>
      <c r="N49">
        <v>0.13686100000000001</v>
      </c>
      <c r="O49">
        <v>0.27326600000000001</v>
      </c>
      <c r="P49">
        <v>0.54744099999999996</v>
      </c>
      <c r="Q49">
        <v>5.2556E-3</v>
      </c>
      <c r="R49">
        <v>1.0741199999999999E-2</v>
      </c>
      <c r="S49">
        <v>2.36998E-2</v>
      </c>
      <c r="T49">
        <v>4.3018599999999997E-2</v>
      </c>
      <c r="U49">
        <v>8.4863999999999995E-2</v>
      </c>
      <c r="V49">
        <v>0.17121800000000001</v>
      </c>
      <c r="W49">
        <v>0.32863900000000001</v>
      </c>
      <c r="X49">
        <v>0.68249800000000005</v>
      </c>
      <c r="Y49">
        <v>1.3660399999999999</v>
      </c>
      <c r="Z49">
        <v>2.7092700000000001</v>
      </c>
      <c r="AA49">
        <v>5.4216300000000004</v>
      </c>
      <c r="AB49">
        <v>1.1754999999999999E-3</v>
      </c>
      <c r="AC49">
        <v>1.4262999999999999E-3</v>
      </c>
      <c r="AD49">
        <v>1.3583E-3</v>
      </c>
      <c r="AE49">
        <v>1.4686E-3</v>
      </c>
      <c r="AF49">
        <v>1.4162000000000001E-3</v>
      </c>
      <c r="AG49">
        <v>2.032E-3</v>
      </c>
      <c r="AH49">
        <v>2.5316000000000002E-3</v>
      </c>
      <c r="AI49">
        <v>3.9452999999999997E-3</v>
      </c>
      <c r="AJ49">
        <v>6.4143000000000004E-3</v>
      </c>
      <c r="AK49">
        <v>1.1698200000000001E-2</v>
      </c>
      <c r="AL49">
        <v>2.21254E-2</v>
      </c>
      <c r="AM49">
        <v>4.3002100000000001E-2</v>
      </c>
      <c r="AN49">
        <v>8.4736000000000006E-2</v>
      </c>
      <c r="AO49">
        <v>0.168993</v>
      </c>
      <c r="AP49">
        <v>0.33878900000000001</v>
      </c>
      <c r="AQ49">
        <v>0.67524399999999996</v>
      </c>
      <c r="AR49">
        <v>9.2782000000000003E-3</v>
      </c>
      <c r="AS49">
        <v>1.94106E-2</v>
      </c>
      <c r="AT49">
        <v>4.0821999999999997E-2</v>
      </c>
      <c r="AU49">
        <v>7.4791399999999994E-2</v>
      </c>
      <c r="AV49">
        <v>0.15350800000000001</v>
      </c>
      <c r="AW49">
        <v>0.30625999999999998</v>
      </c>
      <c r="AX49">
        <v>0.59329500000000002</v>
      </c>
      <c r="AY49">
        <v>1.2476499999999999</v>
      </c>
      <c r="AZ49">
        <v>2.46109</v>
      </c>
      <c r="BA49">
        <v>4.8601000000000001</v>
      </c>
      <c r="BB49">
        <v>9.8219999999999992</v>
      </c>
    </row>
    <row r="50" spans="1:54" x14ac:dyDescent="0.25">
      <c r="A50">
        <v>1.7902E-3</v>
      </c>
      <c r="B50">
        <v>1.7064000000000001E-3</v>
      </c>
      <c r="C50">
        <v>1.6873999999999999E-3</v>
      </c>
      <c r="D50">
        <v>1.9929000000000001E-3</v>
      </c>
      <c r="E50">
        <v>1.7229000000000001E-3</v>
      </c>
      <c r="F50">
        <v>2.1974999999999998E-3</v>
      </c>
      <c r="G50">
        <v>3.1283000000000001E-3</v>
      </c>
      <c r="H50">
        <v>3.9293000000000002E-3</v>
      </c>
      <c r="I50">
        <v>6.0505999999999997E-3</v>
      </c>
      <c r="J50">
        <v>1.02538E-2</v>
      </c>
      <c r="K50">
        <v>1.85799E-2</v>
      </c>
      <c r="L50">
        <v>3.5446400000000003E-2</v>
      </c>
      <c r="M50">
        <v>6.9512299999999999E-2</v>
      </c>
      <c r="N50">
        <v>0.13674900000000001</v>
      </c>
      <c r="O50">
        <v>0.27325500000000003</v>
      </c>
      <c r="P50">
        <v>0.54756700000000003</v>
      </c>
      <c r="Q50">
        <v>5.7489999999999998E-3</v>
      </c>
      <c r="R50">
        <v>1.1317000000000001E-2</v>
      </c>
      <c r="S50">
        <v>2.34995E-2</v>
      </c>
      <c r="T50">
        <v>4.3315699999999999E-2</v>
      </c>
      <c r="U50">
        <v>8.5045499999999996E-2</v>
      </c>
      <c r="V50">
        <v>0.17186399999999999</v>
      </c>
      <c r="W50">
        <v>0.33715699999999998</v>
      </c>
      <c r="X50">
        <v>0.68247500000000005</v>
      </c>
      <c r="Y50">
        <v>1.34259</v>
      </c>
      <c r="Z50">
        <v>2.6947800000000002</v>
      </c>
      <c r="AA50">
        <v>5.3962199999999996</v>
      </c>
      <c r="AB50">
        <v>1.2233999999999999E-3</v>
      </c>
      <c r="AC50">
        <v>1.3182999999999999E-3</v>
      </c>
      <c r="AD50">
        <v>1.2292E-3</v>
      </c>
      <c r="AE50">
        <v>1.9105000000000001E-3</v>
      </c>
      <c r="AF50">
        <v>1.5467E-3</v>
      </c>
      <c r="AG50">
        <v>2.2981999999999998E-3</v>
      </c>
      <c r="AH50">
        <v>2.5764E-3</v>
      </c>
      <c r="AI50">
        <v>4.0350999999999998E-3</v>
      </c>
      <c r="AJ50">
        <v>6.6235E-3</v>
      </c>
      <c r="AK50">
        <v>1.1847099999999999E-2</v>
      </c>
      <c r="AL50">
        <v>2.2139900000000001E-2</v>
      </c>
      <c r="AM50">
        <v>4.3217199999999997E-2</v>
      </c>
      <c r="AN50">
        <v>8.4786299999999995E-2</v>
      </c>
      <c r="AO50">
        <v>0.168992</v>
      </c>
      <c r="AP50">
        <v>0.33860099999999999</v>
      </c>
      <c r="AQ50">
        <v>0.67530699999999999</v>
      </c>
      <c r="AR50">
        <v>9.6115000000000003E-3</v>
      </c>
      <c r="AS50">
        <v>2.18964E-2</v>
      </c>
      <c r="AT50">
        <v>3.9391700000000002E-2</v>
      </c>
      <c r="AU50">
        <v>7.4751100000000001E-2</v>
      </c>
      <c r="AV50">
        <v>0.15643000000000001</v>
      </c>
      <c r="AW50">
        <v>0.30704900000000002</v>
      </c>
      <c r="AX50">
        <v>0.616151</v>
      </c>
      <c r="AY50">
        <v>1.2379800000000001</v>
      </c>
      <c r="AZ50">
        <v>2.4695900000000002</v>
      </c>
      <c r="BA50">
        <v>4.8890599999999997</v>
      </c>
      <c r="BB50">
        <v>9.7730800000000002</v>
      </c>
    </row>
    <row r="51" spans="1:54" x14ac:dyDescent="0.25">
      <c r="A51">
        <v>1.6703E-3</v>
      </c>
      <c r="B51">
        <v>1.7174E-3</v>
      </c>
      <c r="C51">
        <v>1.7191999999999999E-3</v>
      </c>
      <c r="D51">
        <v>1.8343999999999999E-3</v>
      </c>
      <c r="E51">
        <v>1.707E-3</v>
      </c>
      <c r="F51">
        <v>2.0189000000000001E-3</v>
      </c>
      <c r="G51">
        <v>2.9443E-3</v>
      </c>
      <c r="H51">
        <v>3.8203E-3</v>
      </c>
      <c r="I51">
        <v>5.9884999999999999E-3</v>
      </c>
      <c r="J51">
        <v>1.03033E-2</v>
      </c>
      <c r="K51">
        <v>1.85969E-2</v>
      </c>
      <c r="L51">
        <v>3.5538899999999998E-2</v>
      </c>
      <c r="M51">
        <v>6.9356600000000004E-2</v>
      </c>
      <c r="N51">
        <v>0.13674500000000001</v>
      </c>
      <c r="O51">
        <v>0.27328999999999998</v>
      </c>
      <c r="P51">
        <v>0.54760200000000003</v>
      </c>
      <c r="Q51">
        <v>5.6005999999999998E-3</v>
      </c>
      <c r="R51">
        <v>1.0576500000000001E-2</v>
      </c>
      <c r="S51">
        <v>2.4861000000000001E-2</v>
      </c>
      <c r="T51">
        <v>4.25846E-2</v>
      </c>
      <c r="U51">
        <v>8.8695300000000005E-2</v>
      </c>
      <c r="V51">
        <v>0.16545299999999999</v>
      </c>
      <c r="W51">
        <v>0.35038900000000001</v>
      </c>
      <c r="X51">
        <v>0.68305000000000005</v>
      </c>
      <c r="Y51">
        <v>1.34487</v>
      </c>
      <c r="Z51">
        <v>2.6832799999999999</v>
      </c>
      <c r="AA51">
        <v>5.4478900000000001</v>
      </c>
      <c r="AB51">
        <v>1.3592999999999999E-3</v>
      </c>
      <c r="AC51">
        <v>1.4300999999999999E-3</v>
      </c>
      <c r="AD51">
        <v>1.3692000000000001E-3</v>
      </c>
      <c r="AE51">
        <v>1.3196E-3</v>
      </c>
      <c r="AF51">
        <v>1.4385000000000001E-3</v>
      </c>
      <c r="AG51">
        <v>2.0945E-3</v>
      </c>
      <c r="AH51">
        <v>2.5894999999999998E-3</v>
      </c>
      <c r="AI51">
        <v>3.7958000000000002E-3</v>
      </c>
      <c r="AJ51">
        <v>6.5034999999999997E-3</v>
      </c>
      <c r="AK51">
        <v>1.17547E-2</v>
      </c>
      <c r="AL51">
        <v>2.2370899999999999E-2</v>
      </c>
      <c r="AM51">
        <v>4.2907099999999997E-2</v>
      </c>
      <c r="AN51">
        <v>8.4627999999999995E-2</v>
      </c>
      <c r="AO51">
        <v>0.16919999999999999</v>
      </c>
      <c r="AP51">
        <v>0.33857999999999999</v>
      </c>
      <c r="AQ51">
        <v>0.67527899999999996</v>
      </c>
      <c r="AR51">
        <v>9.5370999999999997E-3</v>
      </c>
      <c r="AS51">
        <v>2.1980099999999999E-2</v>
      </c>
      <c r="AT51">
        <v>3.8926500000000003E-2</v>
      </c>
      <c r="AU51">
        <v>7.5113700000000005E-2</v>
      </c>
      <c r="AV51">
        <v>0.15445300000000001</v>
      </c>
      <c r="AW51">
        <v>0.30590099999999998</v>
      </c>
      <c r="AX51">
        <v>0.62506799999999996</v>
      </c>
      <c r="AY51">
        <v>1.21306</v>
      </c>
      <c r="AZ51">
        <v>2.4393799999999999</v>
      </c>
      <c r="BA51">
        <v>4.8868099999999997</v>
      </c>
      <c r="BB51">
        <v>9.8867899999999995</v>
      </c>
    </row>
    <row r="52" spans="1:54" x14ac:dyDescent="0.25">
      <c r="A52">
        <f>AVERAGE(x__8[minMaxPar_50_15.txt])</f>
        <v>1.7328460000000003E-3</v>
      </c>
      <c r="B52">
        <f>AVERAGE(x__8[minMaxPar_50_16.txt])</f>
        <v>1.7155719999999996E-3</v>
      </c>
      <c r="C52">
        <f>AVERAGE(x__8[minMaxPar_50_17.txt])</f>
        <v>1.74092E-3</v>
      </c>
      <c r="D52">
        <f>AVERAGE(x__8[minMaxPar_50_18.txt])</f>
        <v>1.8278340000000006E-3</v>
      </c>
      <c r="E52">
        <f>AVERAGE(x__8[minMaxPar_50_19.txt])</f>
        <v>1.8092780000000001E-3</v>
      </c>
      <c r="F52">
        <f>AVERAGE(x__8[minMaxPar_50_20.txt])</f>
        <v>2.574228E-3</v>
      </c>
      <c r="G52">
        <f>AVERAGE(x__8[minMaxPar_50_21.txt])</f>
        <v>2.6995419999999997E-3</v>
      </c>
      <c r="H52">
        <f>AVERAGE(x__8[minMaxPar_50_22.txt])</f>
        <v>3.9051880000000004E-3</v>
      </c>
      <c r="I52">
        <f>AVERAGE(x__8[minMaxPar_50_23.txt])</f>
        <v>6.1296839999999998E-3</v>
      </c>
      <c r="J52">
        <f>AVERAGE(x__8[minMaxPar_50_24.txt])</f>
        <v>1.0301429999999999E-2</v>
      </c>
      <c r="K52">
        <f>AVERAGE(x__8[minMaxPar_50_25.txt])</f>
        <v>1.8721632000000002E-2</v>
      </c>
      <c r="L52">
        <f>AVERAGE(x__8[minMaxPar_50_26.txt])</f>
        <v>3.5551110000000004E-2</v>
      </c>
      <c r="M52">
        <f>AVERAGE(x__8[minMaxPar_50_27.txt])</f>
        <v>6.9445668000000002E-2</v>
      </c>
      <c r="N52">
        <f>AVERAGE(x__8[minMaxPar_50_28.txt])</f>
        <v>0.13680924</v>
      </c>
      <c r="O52">
        <f>AVERAGE(x__8[minMaxPar_50_29.txt])</f>
        <v>0.27332997999999992</v>
      </c>
      <c r="P52">
        <f>AVERAGE(x__8[minMaxPar_50_30.txt])</f>
        <v>0.54756092000000012</v>
      </c>
      <c r="Q52">
        <f>AVERAGE(x__8[minMaxSeq_50_15.txt])</f>
        <v>5.4357420000000004E-3</v>
      </c>
      <c r="R52">
        <f>AVERAGE(x__8[minMaxSeq_50_16.txt])</f>
        <v>1.0932134000000003E-2</v>
      </c>
      <c r="S52">
        <f>AVERAGE(x__8[minMaxSeq_50_17.txt])</f>
        <v>2.2631022000000001E-2</v>
      </c>
      <c r="T52">
        <f>AVERAGE(x__8[minMaxSeq_50_18.txt])</f>
        <v>4.3343595999999998E-2</v>
      </c>
      <c r="U52">
        <f>AVERAGE(x__8[minMaxSeq_50_19.txt])</f>
        <v>8.5688996000000003E-2</v>
      </c>
      <c r="V52">
        <f>AVERAGE(x__8[minMaxSeq_50_20.txt])</f>
        <v>0.16995272000000003</v>
      </c>
      <c r="W52">
        <f>AVERAGE(x__8[minMaxSeq_50_21.txt])</f>
        <v>0.33908366000000006</v>
      </c>
      <c r="X52">
        <f>AVERAGE(x__8[minMaxSeq_50_22.txt])</f>
        <v>0.67660519999999991</v>
      </c>
      <c r="Y52">
        <f>AVERAGE(x__8[minMaxSeq_50_23.txt])</f>
        <v>1.3568824000000002</v>
      </c>
      <c r="Z52">
        <f>AVERAGE(x__8[minMaxSeq_50_24.txt])</f>
        <v>2.7074564000000003</v>
      </c>
      <c r="AA52">
        <f>AVERAGE(x__8[minMaxSeq_50_25.txt])</f>
        <v>5.4162542</v>
      </c>
      <c r="AB52">
        <f>AVERAGE(x__8[montePar_50_15.txt])</f>
        <v>1.4004200000000001E-3</v>
      </c>
      <c r="AC52">
        <f>AVERAGE(x__8[montePar_50_16.txt])</f>
        <v>1.3192919999999999E-3</v>
      </c>
      <c r="AD52">
        <f>AVERAGE(x__8[montePar_50_17.txt])</f>
        <v>1.314258E-3</v>
      </c>
      <c r="AE52">
        <f>AVERAGE(x__8[montePar_50_18.txt])</f>
        <v>1.3603720000000003E-3</v>
      </c>
      <c r="AF52">
        <f>AVERAGE(x__8[montePar_50_19.txt])</f>
        <v>1.4609919999999999E-3</v>
      </c>
      <c r="AG52">
        <f>AVERAGE(x__8[montePar_50_20.txt])</f>
        <v>1.8015039999999998E-3</v>
      </c>
      <c r="AH52">
        <f>AVERAGE(x__8[montePar_50_21.txt])</f>
        <v>2.5276460000000001E-3</v>
      </c>
      <c r="AI52">
        <f>AVERAGE(x__8[montePar_50_22.txt])</f>
        <v>3.9480940000000001E-3</v>
      </c>
      <c r="AJ52">
        <f>AVERAGE(x__8[montePar_50_23.txt])</f>
        <v>6.6746779999999973E-3</v>
      </c>
      <c r="AK52">
        <f>AVERAGE(x__8[montePar_50_24.txt])</f>
        <v>1.1796657999999998E-2</v>
      </c>
      <c r="AL52">
        <f>AVERAGE(x__8[montePar_50_25.txt])</f>
        <v>2.2135037999999999E-2</v>
      </c>
      <c r="AM52">
        <f>AVERAGE(x__8[montePar_50_26.txt])</f>
        <v>4.3019254E-2</v>
      </c>
      <c r="AN52">
        <f>AVERAGE(x__8[montePar_50_27.txt])</f>
        <v>8.4762634000000017E-2</v>
      </c>
      <c r="AO52">
        <f>AVERAGE(x__8[montePar_50_28.txt])</f>
        <v>0.16868465999999999</v>
      </c>
      <c r="AP52">
        <f>AVERAGE(x__8[montePar_50_29.txt])</f>
        <v>0.33816892000000004</v>
      </c>
      <c r="AQ52">
        <f>AVERAGE(x__8[montePar_50_30.txt])</f>
        <v>0.67526457999999989</v>
      </c>
      <c r="AR52">
        <f>AVERAGE(x__8[monteSeq_50_15.txt])</f>
        <v>9.8698200000000014E-3</v>
      </c>
      <c r="AS52">
        <f>AVERAGE(x__8[monteSeq_50_16.txt])</f>
        <v>1.9966069999999999E-2</v>
      </c>
      <c r="AT52">
        <f>AVERAGE(x__8[monteSeq_50_17.txt])</f>
        <v>3.9956145999999998E-2</v>
      </c>
      <c r="AU52">
        <f>AVERAGE(x__8[monteSeq_50_18.txt])</f>
        <v>7.9254432000000014E-2</v>
      </c>
      <c r="AV52">
        <f>AVERAGE(x__8[monteSeq_50_19.txt])</f>
        <v>0.15436032000000005</v>
      </c>
      <c r="AW52">
        <f>AVERAGE(x__8[monteSeq_50_20.txt])</f>
        <v>0.30672274000000005</v>
      </c>
      <c r="AX52">
        <f>AVERAGE(x__8[monteSeq_50_21.txt])</f>
        <v>0.61355301999999989</v>
      </c>
      <c r="AY52">
        <f>AVERAGE(x__8[monteSeq_50_22.txt])</f>
        <v>1.2297958000000004</v>
      </c>
      <c r="AZ52">
        <f>AVERAGE(x__8[monteSeq_50_23.txt])</f>
        <v>2.4624284000000007</v>
      </c>
      <c r="BA52">
        <f>AVERAGE(x__8[monteSeq_50_24.txt])</f>
        <v>4.9080325999999994</v>
      </c>
      <c r="BB52">
        <f>AVERAGE(x__8[monteSeq_50_25.txt])</f>
        <v>9.8325650000000007</v>
      </c>
    </row>
    <row r="53" spans="1:54" x14ac:dyDescent="0.25">
      <c r="A53" s="2">
        <f>STDEVPA(x__8[minMaxPar_50_15.txt])</f>
        <v>8.3889203620013004E-5</v>
      </c>
      <c r="B53" s="2">
        <f>STDEVPA(x__8[minMaxPar_50_16.txt])</f>
        <v>7.3703829045715117E-5</v>
      </c>
      <c r="C53" s="2">
        <f>STDEVPA(x__8[minMaxPar_50_17.txt])</f>
        <v>1.036243118191865E-4</v>
      </c>
      <c r="D53" s="2">
        <f>STDEVPA(x__8[minMaxPar_50_18.txt])</f>
        <v>3.7239883330107259E-4</v>
      </c>
      <c r="E53" s="2">
        <f>STDEVPA(x__8[minMaxPar_50_19.txt])</f>
        <v>1.6348714113348484E-4</v>
      </c>
      <c r="F53" s="2">
        <f>STDEVPA(x__8[minMaxPar_50_20.txt])</f>
        <v>8.0502483763918761E-4</v>
      </c>
      <c r="G53" s="2">
        <f>STDEVPA(x__8[minMaxPar_50_21.txt])</f>
        <v>1.3231279467987972E-4</v>
      </c>
      <c r="H53" s="2">
        <f>STDEVPA(x__8[minMaxPar_50_22.txt])</f>
        <v>1.273004519080746E-4</v>
      </c>
      <c r="I53" s="2">
        <f>STDEVPA(x__8[minMaxPar_50_23.txt])</f>
        <v>1.8228783103652312E-4</v>
      </c>
      <c r="J53" s="2">
        <f>STDEVPA(x__8[minMaxPar_50_24.txt])</f>
        <v>9.9171756564054152E-5</v>
      </c>
      <c r="K53" s="2">
        <f>STDEVPA(x__8[minMaxPar_50_25.txt])</f>
        <v>1.3785154977728772E-4</v>
      </c>
      <c r="L53" s="2">
        <f>STDEVPA(x__8[minMaxPar_50_26.txt])</f>
        <v>1.3384215666224162E-4</v>
      </c>
      <c r="M53" s="2">
        <f>STDEVPA(x__8[minMaxPar_50_27.txt])</f>
        <v>1.2162649125910026E-4</v>
      </c>
      <c r="N53" s="2">
        <f>STDEVPA(x__8[minMaxPar_50_28.txt])</f>
        <v>1.0824889098739187E-4</v>
      </c>
      <c r="O53" s="2">
        <f>STDEVPA(x__8[minMaxPar_50_29.txt])</f>
        <v>1.4973089060043684E-4</v>
      </c>
      <c r="P53" s="2">
        <f>STDEVPA(x__8[minMaxPar_50_30.txt])</f>
        <v>1.3187658472981411E-4</v>
      </c>
      <c r="Q53" s="2">
        <f>STDEVPA(x__8[minMaxSeq_50_15.txt])</f>
        <v>2.4505106005891908E-4</v>
      </c>
      <c r="R53" s="2">
        <f>STDEVPA(x__8[minMaxSeq_50_16.txt])</f>
        <v>4.4898697246579448E-4</v>
      </c>
      <c r="S53" s="2">
        <f>STDEVPA(x__8[minMaxSeq_50_17.txt])</f>
        <v>1.7095237371022374E-3</v>
      </c>
      <c r="T53" s="2">
        <f>STDEVPA(x__8[minMaxSeq_50_18.txt])</f>
        <v>1.4210008765598984E-3</v>
      </c>
      <c r="U53" s="2">
        <f>STDEVPA(x__8[minMaxSeq_50_19.txt])</f>
        <v>1.9415454483436645E-3</v>
      </c>
      <c r="V53" s="2">
        <f>STDEVPA(x__8[minMaxSeq_50_20.txt])</f>
        <v>3.3320101142703643E-3</v>
      </c>
      <c r="W53" s="2">
        <f>STDEVPA(x__8[minMaxSeq_50_21.txt])</f>
        <v>5.9083071301685051E-3</v>
      </c>
      <c r="X53" s="2">
        <f>STDEVPA(x__8[minMaxSeq_50_22.txt])</f>
        <v>1.0977171464452949E-2</v>
      </c>
      <c r="Y53" s="2">
        <f>STDEVPA(x__8[minMaxSeq_50_23.txt])</f>
        <v>1.4204469093915482E-2</v>
      </c>
      <c r="Z53" s="2">
        <f>STDEVPA(x__8[minMaxSeq_50_24.txt])</f>
        <v>2.0793707967556006E-2</v>
      </c>
      <c r="AA53" s="2">
        <f>STDEVPA(x__8[minMaxSeq_50_25.txt])</f>
        <v>3.2474972276508564E-2</v>
      </c>
      <c r="AB53" s="2">
        <f>STDEVPA(x__8[montePar_50_15.txt])</f>
        <v>7.6200533882644157E-4</v>
      </c>
      <c r="AC53" s="2">
        <f>STDEVPA(x__8[montePar_50_16.txt])</f>
        <v>1.1916990197193247E-4</v>
      </c>
      <c r="AD53" s="2">
        <f>STDEVPA(x__8[montePar_50_17.txt])</f>
        <v>2.630206912697174E-4</v>
      </c>
      <c r="AE53" s="2">
        <f>STDEVPA(x__8[montePar_50_18.txt])</f>
        <v>1.191433792369513E-4</v>
      </c>
      <c r="AF53" s="2">
        <f>STDEVPA(x__8[montePar_50_19.txt])</f>
        <v>9.946497642889177E-5</v>
      </c>
      <c r="AG53" s="2">
        <f>STDEVPA(x__8[montePar_50_20.txt])</f>
        <v>1.6812907417814441E-4</v>
      </c>
      <c r="AH53" s="2">
        <f>STDEVPA(x__8[montePar_50_21.txt])</f>
        <v>8.5427761787372123E-5</v>
      </c>
      <c r="AI53" s="2">
        <f>STDEVPA(x__8[montePar_50_22.txt])</f>
        <v>1.7348815799356446E-4</v>
      </c>
      <c r="AJ53" s="2">
        <f>STDEVPA(x__8[montePar_50_23.txt])</f>
        <v>9.4904205792788762E-4</v>
      </c>
      <c r="AK53" s="2">
        <f>STDEVPA(x__8[montePar_50_24.txt])</f>
        <v>1.6603057199202791E-4</v>
      </c>
      <c r="AL53" s="2">
        <f>STDEVPA(x__8[montePar_50_25.txt])</f>
        <v>9.1835191272191856E-5</v>
      </c>
      <c r="AM53" s="2">
        <f>STDEVPA(x__8[montePar_50_26.txt])</f>
        <v>1.6282126913889374E-4</v>
      </c>
      <c r="AN53" s="2">
        <f>STDEVPA(x__8[montePar_50_27.txt])</f>
        <v>8.9508032287610639E-5</v>
      </c>
      <c r="AO53" s="2">
        <f>STDEVPA(x__8[montePar_50_28.txt])</f>
        <v>5.5075564854116608E-4</v>
      </c>
      <c r="AP53" s="2">
        <f>STDEVPA(x__8[montePar_50_29.txt])</f>
        <v>8.480068829909359E-4</v>
      </c>
      <c r="AQ53" s="2">
        <f>STDEVPA(x__8[montePar_50_30.txt])</f>
        <v>1.1554758154110813E-4</v>
      </c>
      <c r="AR53" s="2">
        <f>STDEVPA(x__8[monteSeq_50_15.txt])</f>
        <v>4.7068909186425816E-4</v>
      </c>
      <c r="AS53" s="2">
        <f>STDEVPA(x__8[monteSeq_50_16.txt])</f>
        <v>8.3493577124231565E-4</v>
      </c>
      <c r="AT53" s="2">
        <f>STDEVPA(x__8[monteSeq_50_17.txt])</f>
        <v>1.3253036410136353E-3</v>
      </c>
      <c r="AU53" s="2">
        <f>STDEVPA(x__8[monteSeq_50_18.txt])</f>
        <v>4.2304136064191169E-3</v>
      </c>
      <c r="AV53" s="2">
        <f>STDEVPA(x__8[monteSeq_50_19.txt])</f>
        <v>2.6451840044881569E-3</v>
      </c>
      <c r="AW53" s="2">
        <f>STDEVPA(x__8[monteSeq_50_20.txt])</f>
        <v>6.9255483878462665E-3</v>
      </c>
      <c r="AX53" s="2">
        <f>STDEVPA(x__8[monteSeq_50_21.txt])</f>
        <v>1.007520496762224E-2</v>
      </c>
      <c r="AY53" s="2">
        <f>STDEVPA(x__8[monteSeq_50_22.txt])</f>
        <v>1.6166265875581773E-2</v>
      </c>
      <c r="AZ53" s="2">
        <f>STDEVPA(x__8[monteSeq_50_23.txt])</f>
        <v>2.6592653599067591E-2</v>
      </c>
      <c r="BA53" s="2">
        <f>STDEVPA(x__8[monteSeq_50_24.txt])</f>
        <v>3.8519947290202722E-2</v>
      </c>
      <c r="BB53" s="2">
        <f>STDEVPA(x__8[monteSeq_50_25.txt])</f>
        <v>7.0169865305556939E-2</v>
      </c>
    </row>
    <row r="54" spans="1:54" x14ac:dyDescent="0.25">
      <c r="A54" s="1">
        <f>A53/x__8[[#Totals],[minMaxPar_50_15.txt]]</f>
        <v>4.8411228476167523E-2</v>
      </c>
      <c r="B54" s="1">
        <f>B53/x__8[[#Totals],[minMaxPar_50_16.txt]]</f>
        <v>4.2961664707581573E-2</v>
      </c>
      <c r="C54" s="1">
        <f>C53/x__8[[#Totals],[minMaxPar_50_17.txt]]</f>
        <v>5.9522730406444006E-2</v>
      </c>
      <c r="D54" s="1">
        <f>D53/x__8[[#Totals],[minMaxPar_50_18.txt]]</f>
        <v>0.20373777558633469</v>
      </c>
      <c r="E54" s="1">
        <f>E53/x__8[[#Totals],[minMaxPar_50_19.txt]]</f>
        <v>9.0360431693462709E-2</v>
      </c>
      <c r="F54" s="1">
        <f>F53/x__8[[#Totals],[minMaxPar_50_20.txt]]</f>
        <v>0.31272476161365176</v>
      </c>
      <c r="G54" s="1">
        <f>G53/x__8[[#Totals],[minMaxPar_50_21.txt]]</f>
        <v>4.9013052836325476E-2</v>
      </c>
      <c r="H54" s="1">
        <f>H53/x__8[[#Totals],[minMaxPar_50_22.txt]]</f>
        <v>3.259777811159785E-2</v>
      </c>
      <c r="I54" s="1">
        <f>I53/x__8[[#Totals],[minMaxPar_50_23.txt]]</f>
        <v>2.9738536446009798E-2</v>
      </c>
      <c r="J54" s="1">
        <f>J53/x__8[[#Totals],[minMaxPar_50_24.txt]]</f>
        <v>9.6269893174107061E-3</v>
      </c>
      <c r="K54" s="1">
        <f>K53/x__8[[#Totals],[minMaxPar_50_25.txt]]</f>
        <v>7.3632229165324749E-3</v>
      </c>
      <c r="L54" s="1">
        <f>L53/x__8[[#Totals],[minMaxPar_50_26.txt]]</f>
        <v>3.7647813714463936E-3</v>
      </c>
      <c r="M54" s="1">
        <f>M53/x__8[[#Totals],[minMaxPar_50_27.txt]]</f>
        <v>1.7513906160295017E-3</v>
      </c>
      <c r="N54" s="1">
        <f>N53/x__8[[#Totals],[minMaxPar_50_28.txt]]</f>
        <v>7.9123961939553107E-4</v>
      </c>
      <c r="O54" s="1">
        <f>O53/x__8[[#Totals],[minMaxPar_50_29.txt]]</f>
        <v>5.4780266182449832E-4</v>
      </c>
      <c r="P54" s="1">
        <f>P53/x__8[[#Totals],[minMaxPar_50_30.txt]]</f>
        <v>2.4084367585950817E-4</v>
      </c>
      <c r="Q54" s="1">
        <f>Q53/x__8[[#Totals],[minMaxSeq_50_15.txt]]</f>
        <v>4.5081436914945386E-2</v>
      </c>
      <c r="R54" s="1">
        <f>R53/x__8[[#Totals],[minMaxSeq_50_16.txt]]</f>
        <v>4.1070386849062987E-2</v>
      </c>
      <c r="S54" s="1">
        <f>S53/x__8[[#Totals],[minMaxSeq_50_17.txt]]</f>
        <v>7.5538954321295676E-2</v>
      </c>
      <c r="T54" s="1">
        <f>T53/x__8[[#Totals],[minMaxSeq_50_18.txt]]</f>
        <v>3.2784563527213997E-2</v>
      </c>
      <c r="U54" s="1">
        <f>U53/x__8[[#Totals],[minMaxSeq_50_19.txt]]</f>
        <v>2.2658048745765026E-2</v>
      </c>
      <c r="V54" s="1">
        <f>V53/x__8[[#Totals],[minMaxSeq_50_20.txt]]</f>
        <v>1.9605512134612282E-2</v>
      </c>
      <c r="W54" s="1">
        <f>W53/x__8[[#Totals],[minMaxSeq_50_21.txt]]</f>
        <v>1.7424334543777498E-2</v>
      </c>
      <c r="X54" s="1">
        <f>X53/x__8[[#Totals],[minMaxSeq_50_22.txt]]</f>
        <v>1.6223894620456585E-2</v>
      </c>
      <c r="Y54" s="1">
        <f>Y53/x__8[[#Totals],[minMaxSeq_50_23.txt]]</f>
        <v>1.0468459974066641E-2</v>
      </c>
      <c r="Z54" s="1">
        <f>Z53/x__8[[#Totals],[minMaxSeq_50_24.txt]]</f>
        <v>7.6801635540856734E-3</v>
      </c>
      <c r="AA54" s="1">
        <f>AA53/x__8[[#Totals],[minMaxSeq_50_25.txt]]</f>
        <v>5.9958360662814838E-3</v>
      </c>
      <c r="AB54" s="1">
        <f>AB53/x__8[[#Totals],[montePar_50_15.txt]]</f>
        <v>0.54412628984621869</v>
      </c>
      <c r="AC54" s="1">
        <f>AC53/x__8[[#Totals],[montePar_50_16.txt]]</f>
        <v>9.0328677784700037E-2</v>
      </c>
      <c r="AD54" s="1">
        <f>AD53/x__8[[#Totals],[montePar_50_17.txt]]</f>
        <v>0.20012865911390107</v>
      </c>
      <c r="AE54" s="1">
        <f>AE53/x__8[[#Totals],[montePar_50_18.txt]]</f>
        <v>8.7581469801606665E-2</v>
      </c>
      <c r="AF54" s="1">
        <f>AF53/x__8[[#Totals],[montePar_50_19.txt]]</f>
        <v>6.8080438790145179E-2</v>
      </c>
      <c r="AG54" s="1">
        <f>AG53/x__8[[#Totals],[montePar_50_20.txt]]</f>
        <v>9.3327061265556135E-2</v>
      </c>
      <c r="AH54" s="1">
        <f>AH53/x__8[[#Totals],[montePar_50_21.txt]]</f>
        <v>3.3797359989243797E-2</v>
      </c>
      <c r="AI54" s="1">
        <f>AI53/x__8[[#Totals],[montePar_50_22.txt]]</f>
        <v>4.3942256185785962E-2</v>
      </c>
      <c r="AJ54" s="1">
        <f>AJ53/x__8[[#Totals],[montePar_50_23.txt]]</f>
        <v>0.14218544444059894</v>
      </c>
      <c r="AK54" s="1">
        <f>AK53/x__8[[#Totals],[montePar_50_24.txt]]</f>
        <v>1.4074373605815134E-2</v>
      </c>
      <c r="AL54" s="1">
        <f>AL53/x__8[[#Totals],[montePar_50_25.txt]]</f>
        <v>4.1488607913025433E-3</v>
      </c>
      <c r="AM54" s="1">
        <f>AM53/x__8[[#Totals],[montePar_50_26.txt]]</f>
        <v>3.7848464117693379E-3</v>
      </c>
      <c r="AN54" s="1">
        <f>AN53/x__8[[#Totals],[montePar_50_27.txt]]</f>
        <v>1.0559845543215494E-3</v>
      </c>
      <c r="AO54" s="1">
        <f>AO53/x__8[[#Totals],[montePar_50_28.txt]]</f>
        <v>3.2650013850765453E-3</v>
      </c>
      <c r="AP54" s="1">
        <f>AP53/x__8[[#Totals],[montePar_50_29.txt]]</f>
        <v>2.5076428756106144E-3</v>
      </c>
      <c r="AQ54" s="1">
        <f>AQ53/x__8[[#Totals],[montePar_50_30.txt]]</f>
        <v>1.7111453045724409E-4</v>
      </c>
      <c r="AR54" s="1">
        <f>AR53/x__8[[#Totals],[monteSeq_50_15.txt]]</f>
        <v>4.7689734145532348E-2</v>
      </c>
      <c r="AS54" s="1">
        <f>AS53/x__8[[#Totals],[monteSeq_50_16.txt]]</f>
        <v>4.1817732345039146E-2</v>
      </c>
      <c r="AT54" s="1">
        <f>AT53/x__8[[#Totals],[monteSeq_50_17.txt]]</f>
        <v>3.3168955810043227E-2</v>
      </c>
      <c r="AU54" s="1">
        <f>AU53/x__8[[#Totals],[monteSeq_50_18.txt]]</f>
        <v>5.3377628224237555E-2</v>
      </c>
      <c r="AV54" s="1">
        <f>AV53/x__8[[#Totals],[monteSeq_50_19.txt]]</f>
        <v>1.7136424726821996E-2</v>
      </c>
      <c r="AW54" s="1">
        <f>AW53/x__8[[#Totals],[monteSeq_50_20.txt]]</f>
        <v>2.2579181406133322E-2</v>
      </c>
      <c r="AX54" s="1">
        <f>AX53/x__8[[#Totals],[monteSeq_50_21.txt]]</f>
        <v>1.6421082839136285E-2</v>
      </c>
      <c r="AY54" s="1">
        <f>AY53/x__8[[#Totals],[monteSeq_50_22.txt]]</f>
        <v>1.314548795465212E-2</v>
      </c>
      <c r="AZ54" s="1">
        <f>AZ53/x__8[[#Totals],[monteSeq_50_23.txt]]</f>
        <v>1.0799361150589225E-2</v>
      </c>
      <c r="BA54" s="1">
        <f>BA53/x__8[[#Totals],[monteSeq_50_24.txt]]</f>
        <v>7.8483478879506074E-3</v>
      </c>
      <c r="BB54" s="1">
        <f>BB53/x__8[[#Totals],[monteSeq_50_25.txt]]</f>
        <v>7.1364761184448755E-3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F47976-465E-487E-8881-BBADB2998FAE}">
  <dimension ref="A1:AF54"/>
  <sheetViews>
    <sheetView topLeftCell="F31" workbookViewId="0">
      <selection activeCell="P52" sqref="A52:P54"/>
    </sheetView>
  </sheetViews>
  <sheetFormatPr defaultRowHeight="15" x14ac:dyDescent="0.25"/>
  <cols>
    <col min="1" max="16" width="22.7109375" bestFit="1" customWidth="1"/>
    <col min="17" max="32" width="21.28515625" bestFit="1" customWidth="1"/>
  </cols>
  <sheetData>
    <row r="1" spans="1:3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</row>
    <row r="2" spans="1:32" x14ac:dyDescent="0.25">
      <c r="A2">
        <v>1.9986000000000001E-3</v>
      </c>
      <c r="B2">
        <v>1.7002E-3</v>
      </c>
      <c r="C2">
        <v>2.4374000000000002E-3</v>
      </c>
      <c r="D2">
        <v>2.6895999999999999E-3</v>
      </c>
      <c r="E2">
        <v>3.2794999999999999E-3</v>
      </c>
      <c r="F2">
        <v>5.5082999999999998E-3</v>
      </c>
      <c r="G2">
        <v>9.2285000000000006E-3</v>
      </c>
      <c r="H2">
        <v>1.7236000000000001E-2</v>
      </c>
      <c r="I2">
        <v>3.2760699999999997E-2</v>
      </c>
      <c r="J2">
        <v>6.3546000000000005E-2</v>
      </c>
      <c r="K2">
        <v>0.12545799999999999</v>
      </c>
      <c r="L2">
        <v>0.25020700000000001</v>
      </c>
      <c r="M2">
        <v>0.49941200000000002</v>
      </c>
      <c r="N2">
        <v>0.99650799999999995</v>
      </c>
      <c r="O2">
        <v>2.0015399999999999</v>
      </c>
      <c r="P2">
        <v>4.0006000000000004</v>
      </c>
      <c r="Q2">
        <v>6.3292000000000001E-3</v>
      </c>
      <c r="R2">
        <v>1.6471999999999999E-3</v>
      </c>
      <c r="S2">
        <v>2.2916E-3</v>
      </c>
      <c r="T2">
        <v>2.2970999999999998E-3</v>
      </c>
      <c r="U2">
        <v>3.1855999999999998E-3</v>
      </c>
      <c r="V2">
        <v>5.4463000000000003E-3</v>
      </c>
      <c r="W2">
        <v>9.4858000000000008E-3</v>
      </c>
      <c r="X2">
        <v>1.7426899999999999E-2</v>
      </c>
      <c r="Y2">
        <v>3.3330400000000003E-2</v>
      </c>
      <c r="Z2">
        <v>6.5153699999999995E-2</v>
      </c>
      <c r="AA2">
        <v>0.129104</v>
      </c>
      <c r="AB2">
        <v>0.25787300000000002</v>
      </c>
      <c r="AC2">
        <v>0.51480999999999999</v>
      </c>
      <c r="AD2">
        <v>1.0337400000000001</v>
      </c>
      <c r="AE2">
        <v>2.0655299999999999</v>
      </c>
      <c r="AF2">
        <v>4.1288799999999997</v>
      </c>
    </row>
    <row r="3" spans="1:32" x14ac:dyDescent="0.25">
      <c r="A3">
        <v>1.5758E-3</v>
      </c>
      <c r="B3">
        <v>1.4545000000000001E-3</v>
      </c>
      <c r="C3">
        <v>2.3398E-3</v>
      </c>
      <c r="D3">
        <v>2.2989E-3</v>
      </c>
      <c r="E3">
        <v>3.5344E-3</v>
      </c>
      <c r="F3">
        <v>5.2478999999999998E-3</v>
      </c>
      <c r="G3">
        <v>9.3536999999999995E-3</v>
      </c>
      <c r="H3">
        <v>1.7167200000000001E-2</v>
      </c>
      <c r="I3">
        <v>3.2513E-2</v>
      </c>
      <c r="J3">
        <v>6.3462299999999999E-2</v>
      </c>
      <c r="K3">
        <v>0.125278</v>
      </c>
      <c r="L3">
        <v>0.25017899999999998</v>
      </c>
      <c r="M3">
        <v>0.49934299999999998</v>
      </c>
      <c r="N3">
        <v>0.99629299999999998</v>
      </c>
      <c r="O3">
        <v>2.0015399999999999</v>
      </c>
      <c r="P3">
        <v>4.0005199999999999</v>
      </c>
      <c r="Q3">
        <v>1.4741000000000001E-3</v>
      </c>
      <c r="R3">
        <v>1.4496000000000001E-3</v>
      </c>
      <c r="S3">
        <v>1.7914999999999999E-3</v>
      </c>
      <c r="T3">
        <v>2.2312999999999999E-3</v>
      </c>
      <c r="U3">
        <v>3.1505000000000001E-3</v>
      </c>
      <c r="V3">
        <v>5.1774000000000004E-3</v>
      </c>
      <c r="W3">
        <v>9.1141E-3</v>
      </c>
      <c r="X3">
        <v>1.7357899999999999E-2</v>
      </c>
      <c r="Y3">
        <v>3.3208500000000002E-2</v>
      </c>
      <c r="Z3">
        <v>6.5179600000000004E-2</v>
      </c>
      <c r="AA3">
        <v>0.128855</v>
      </c>
      <c r="AB3">
        <v>0.25795000000000001</v>
      </c>
      <c r="AC3">
        <v>0.51489099999999999</v>
      </c>
      <c r="AD3">
        <v>1.03365</v>
      </c>
      <c r="AE3">
        <v>2.0652900000000001</v>
      </c>
      <c r="AF3">
        <v>4.1288600000000004</v>
      </c>
    </row>
    <row r="4" spans="1:32" x14ac:dyDescent="0.25">
      <c r="A4">
        <v>1.4603999999999999E-3</v>
      </c>
      <c r="B4">
        <v>1.5610999999999999E-3</v>
      </c>
      <c r="C4">
        <v>1.9702999999999999E-3</v>
      </c>
      <c r="D4">
        <v>2.2959E-3</v>
      </c>
      <c r="E4">
        <v>3.3002999999999999E-3</v>
      </c>
      <c r="F4">
        <v>5.3531000000000004E-3</v>
      </c>
      <c r="G4">
        <v>9.2145000000000005E-3</v>
      </c>
      <c r="H4">
        <v>1.7583399999999999E-2</v>
      </c>
      <c r="I4">
        <v>3.2562599999999997E-2</v>
      </c>
      <c r="J4">
        <v>6.3588000000000006E-2</v>
      </c>
      <c r="K4">
        <v>0.12528800000000001</v>
      </c>
      <c r="L4">
        <v>0.25013999999999997</v>
      </c>
      <c r="M4">
        <v>0.49910300000000002</v>
      </c>
      <c r="N4">
        <v>0.99639100000000003</v>
      </c>
      <c r="O4">
        <v>2.0015299999999998</v>
      </c>
      <c r="P4">
        <v>4.0007999999999999</v>
      </c>
      <c r="Q4">
        <v>1.4059999999999999E-3</v>
      </c>
      <c r="R4">
        <v>1.3366000000000001E-3</v>
      </c>
      <c r="S4">
        <v>1.6229E-3</v>
      </c>
      <c r="T4">
        <v>2.3067000000000001E-3</v>
      </c>
      <c r="U4">
        <v>3.1710000000000002E-3</v>
      </c>
      <c r="V4">
        <v>5.2316999999999997E-3</v>
      </c>
      <c r="W4">
        <v>9.2262999999999998E-3</v>
      </c>
      <c r="X4">
        <v>1.7253999999999999E-2</v>
      </c>
      <c r="Y4">
        <v>3.3231400000000001E-2</v>
      </c>
      <c r="Z4">
        <v>6.5166799999999997E-2</v>
      </c>
      <c r="AA4">
        <v>0.12906899999999999</v>
      </c>
      <c r="AB4">
        <v>0.25780399999999998</v>
      </c>
      <c r="AC4">
        <v>0.51472899999999999</v>
      </c>
      <c r="AD4">
        <v>1.0335700000000001</v>
      </c>
      <c r="AE4">
        <v>2.06534</v>
      </c>
      <c r="AF4">
        <v>4.1288600000000004</v>
      </c>
    </row>
    <row r="5" spans="1:32" x14ac:dyDescent="0.25">
      <c r="A5">
        <v>1.4816E-3</v>
      </c>
      <c r="B5">
        <v>1.4877E-3</v>
      </c>
      <c r="C5">
        <v>2.0179E-3</v>
      </c>
      <c r="D5">
        <v>2.3406999999999998E-3</v>
      </c>
      <c r="E5">
        <v>3.2526E-3</v>
      </c>
      <c r="F5">
        <v>5.5796999999999999E-3</v>
      </c>
      <c r="G5">
        <v>9.1231000000000003E-3</v>
      </c>
      <c r="H5">
        <v>1.72122E-2</v>
      </c>
      <c r="I5">
        <v>3.2434699999999997E-2</v>
      </c>
      <c r="J5">
        <v>6.3674800000000004E-2</v>
      </c>
      <c r="K5">
        <v>0.125252</v>
      </c>
      <c r="L5">
        <v>0.250139</v>
      </c>
      <c r="M5">
        <v>0.49915199999999998</v>
      </c>
      <c r="N5">
        <v>0.99645799999999995</v>
      </c>
      <c r="O5">
        <v>2.0012500000000002</v>
      </c>
      <c r="P5">
        <v>4.0002899999999997</v>
      </c>
      <c r="Q5">
        <v>1.4882000000000001E-3</v>
      </c>
      <c r="R5">
        <v>1.4824E-3</v>
      </c>
      <c r="S5">
        <v>1.6299999999999999E-3</v>
      </c>
      <c r="T5">
        <v>2.1121999999999998E-3</v>
      </c>
      <c r="U5">
        <v>3.2686E-3</v>
      </c>
      <c r="V5">
        <v>5.0305999999999997E-3</v>
      </c>
      <c r="W5">
        <v>9.2213999999999994E-3</v>
      </c>
      <c r="X5">
        <v>1.7177100000000001E-2</v>
      </c>
      <c r="Y5">
        <v>3.3102100000000002E-2</v>
      </c>
      <c r="Z5">
        <v>6.5029699999999996E-2</v>
      </c>
      <c r="AA5">
        <v>0.12903300000000001</v>
      </c>
      <c r="AB5">
        <v>0.25784200000000002</v>
      </c>
      <c r="AC5">
        <v>0.51467799999999997</v>
      </c>
      <c r="AD5">
        <v>1.0336399999999999</v>
      </c>
      <c r="AE5">
        <v>2.06534</v>
      </c>
      <c r="AF5">
        <v>4.1288299999999998</v>
      </c>
    </row>
    <row r="6" spans="1:32" x14ac:dyDescent="0.25">
      <c r="A6">
        <v>1.3550999999999999E-3</v>
      </c>
      <c r="B6">
        <v>1.4568999999999999E-3</v>
      </c>
      <c r="C6">
        <v>1.7998999999999999E-3</v>
      </c>
      <c r="D6">
        <v>2.3698E-3</v>
      </c>
      <c r="E6">
        <v>3.3739E-3</v>
      </c>
      <c r="F6">
        <v>5.5583999999999998E-3</v>
      </c>
      <c r="G6">
        <v>9.2765E-3</v>
      </c>
      <c r="H6">
        <v>1.7260899999999999E-2</v>
      </c>
      <c r="I6">
        <v>3.2674700000000001E-2</v>
      </c>
      <c r="J6">
        <v>6.3640199999999994E-2</v>
      </c>
      <c r="K6">
        <v>0.12523100000000001</v>
      </c>
      <c r="L6">
        <v>0.250417</v>
      </c>
      <c r="M6">
        <v>0.49915500000000002</v>
      </c>
      <c r="N6">
        <v>0.996313</v>
      </c>
      <c r="O6">
        <v>2.00149</v>
      </c>
      <c r="P6">
        <v>4.0008100000000004</v>
      </c>
      <c r="Q6">
        <v>1.3124E-3</v>
      </c>
      <c r="R6">
        <v>1.5219999999999999E-3</v>
      </c>
      <c r="S6">
        <v>1.5767999999999999E-3</v>
      </c>
      <c r="T6">
        <v>2.0496999999999998E-3</v>
      </c>
      <c r="U6">
        <v>3.2493999999999999E-3</v>
      </c>
      <c r="V6">
        <v>5.2560000000000003E-3</v>
      </c>
      <c r="W6">
        <v>9.7132999999999994E-3</v>
      </c>
      <c r="X6">
        <v>1.7252E-2</v>
      </c>
      <c r="Y6">
        <v>3.3231900000000002E-2</v>
      </c>
      <c r="Z6">
        <v>6.5105499999999997E-2</v>
      </c>
      <c r="AA6">
        <v>0.12892400000000001</v>
      </c>
      <c r="AB6">
        <v>0.25781199999999999</v>
      </c>
      <c r="AC6">
        <v>0.51478599999999997</v>
      </c>
      <c r="AD6">
        <v>1.03389</v>
      </c>
      <c r="AE6">
        <v>2.0651299999999999</v>
      </c>
      <c r="AF6">
        <v>4.1288999999999998</v>
      </c>
    </row>
    <row r="7" spans="1:32" x14ac:dyDescent="0.25">
      <c r="A7">
        <v>1.4932999999999999E-3</v>
      </c>
      <c r="B7">
        <v>1.4266999999999999E-3</v>
      </c>
      <c r="C7">
        <v>1.8039E-3</v>
      </c>
      <c r="D7">
        <v>2.3895000000000001E-3</v>
      </c>
      <c r="E7">
        <v>3.3760999999999999E-3</v>
      </c>
      <c r="F7">
        <v>5.3544999999999999E-3</v>
      </c>
      <c r="G7">
        <v>9.5078999999999997E-3</v>
      </c>
      <c r="H7">
        <v>1.70534E-2</v>
      </c>
      <c r="I7">
        <v>3.2605500000000003E-2</v>
      </c>
      <c r="J7">
        <v>6.3604099999999997E-2</v>
      </c>
      <c r="K7">
        <v>0.12532599999999999</v>
      </c>
      <c r="L7">
        <v>0.25043500000000002</v>
      </c>
      <c r="M7">
        <v>0.49922299999999997</v>
      </c>
      <c r="N7">
        <v>0.99635799999999997</v>
      </c>
      <c r="O7">
        <v>2.0017200000000002</v>
      </c>
      <c r="P7">
        <v>4.0005100000000002</v>
      </c>
      <c r="Q7">
        <v>1.1709999999999999E-3</v>
      </c>
      <c r="R7">
        <v>1.3079999999999999E-3</v>
      </c>
      <c r="S7">
        <v>2.7269E-3</v>
      </c>
      <c r="T7">
        <v>2.0761999999999998E-3</v>
      </c>
      <c r="U7">
        <v>3.0428E-3</v>
      </c>
      <c r="V7">
        <v>5.3749999999999996E-3</v>
      </c>
      <c r="W7">
        <v>9.1111000000000004E-3</v>
      </c>
      <c r="X7">
        <v>1.7154800000000001E-2</v>
      </c>
      <c r="Y7">
        <v>3.3124500000000001E-2</v>
      </c>
      <c r="Z7">
        <v>6.5063099999999999E-2</v>
      </c>
      <c r="AA7">
        <v>0.12893399999999999</v>
      </c>
      <c r="AB7">
        <v>0.25770999999999999</v>
      </c>
      <c r="AC7">
        <v>0.51486900000000002</v>
      </c>
      <c r="AD7">
        <v>1.0337700000000001</v>
      </c>
      <c r="AE7">
        <v>2.0653299999999999</v>
      </c>
      <c r="AF7">
        <v>4.1289600000000002</v>
      </c>
    </row>
    <row r="8" spans="1:32" x14ac:dyDescent="0.25">
      <c r="A8">
        <v>1.4496999999999999E-3</v>
      </c>
      <c r="B8">
        <v>1.4055000000000001E-3</v>
      </c>
      <c r="C8">
        <v>2.0083000000000002E-3</v>
      </c>
      <c r="D8">
        <v>2.4534000000000001E-3</v>
      </c>
      <c r="E8">
        <v>3.3936999999999999E-3</v>
      </c>
      <c r="F8">
        <v>5.3271999999999998E-3</v>
      </c>
      <c r="G8">
        <v>9.476E-3</v>
      </c>
      <c r="H8">
        <v>1.69657E-2</v>
      </c>
      <c r="I8">
        <v>3.2358400000000002E-2</v>
      </c>
      <c r="J8">
        <v>6.3496999999999998E-2</v>
      </c>
      <c r="K8">
        <v>0.12531999999999999</v>
      </c>
      <c r="L8">
        <v>0.25043100000000001</v>
      </c>
      <c r="M8">
        <v>0.49940200000000001</v>
      </c>
      <c r="N8">
        <v>0.99644900000000003</v>
      </c>
      <c r="O8">
        <v>2.0013800000000002</v>
      </c>
      <c r="P8">
        <v>4.0004799999999996</v>
      </c>
      <c r="Q8">
        <v>1.2821E-3</v>
      </c>
      <c r="R8">
        <v>1.4264E-3</v>
      </c>
      <c r="S8">
        <v>1.7239E-3</v>
      </c>
      <c r="T8">
        <v>2.0026000000000002E-3</v>
      </c>
      <c r="U8">
        <v>3.0634999999999998E-3</v>
      </c>
      <c r="V8">
        <v>5.2417999999999996E-3</v>
      </c>
      <c r="W8">
        <v>9.2095000000000007E-3</v>
      </c>
      <c r="X8">
        <v>1.72228E-2</v>
      </c>
      <c r="Y8">
        <v>3.3197900000000002E-2</v>
      </c>
      <c r="Z8">
        <v>6.5118300000000004E-2</v>
      </c>
      <c r="AA8">
        <v>0.12882399999999999</v>
      </c>
      <c r="AB8">
        <v>0.25776100000000002</v>
      </c>
      <c r="AC8">
        <v>0.51482700000000003</v>
      </c>
      <c r="AD8">
        <v>1.0337700000000001</v>
      </c>
      <c r="AE8">
        <v>2.0651999999999999</v>
      </c>
      <c r="AF8">
        <v>4.1284099999999997</v>
      </c>
    </row>
    <row r="9" spans="1:32" x14ac:dyDescent="0.25">
      <c r="A9">
        <v>1.4538999999999999E-3</v>
      </c>
      <c r="B9">
        <v>1.3962E-3</v>
      </c>
      <c r="C9">
        <v>2.1825999999999998E-3</v>
      </c>
      <c r="D9">
        <v>2.4101999999999999E-3</v>
      </c>
      <c r="E9">
        <v>3.3357E-3</v>
      </c>
      <c r="F9">
        <v>5.4358000000000002E-3</v>
      </c>
      <c r="G9">
        <v>9.7088999999999995E-3</v>
      </c>
      <c r="H9">
        <v>1.7092199999999998E-2</v>
      </c>
      <c r="I9">
        <v>3.2507300000000003E-2</v>
      </c>
      <c r="J9">
        <v>6.3429799999999995E-2</v>
      </c>
      <c r="K9">
        <v>0.12520200000000001</v>
      </c>
      <c r="L9">
        <v>0.24995999999999999</v>
      </c>
      <c r="M9">
        <v>0.49933899999999998</v>
      </c>
      <c r="N9">
        <v>0.99632600000000004</v>
      </c>
      <c r="O9">
        <v>2.0010599999999998</v>
      </c>
      <c r="P9">
        <v>4.0008100000000004</v>
      </c>
      <c r="Q9">
        <v>1.1395000000000001E-3</v>
      </c>
      <c r="R9">
        <v>1.3757000000000001E-3</v>
      </c>
      <c r="S9">
        <v>1.5782000000000001E-3</v>
      </c>
      <c r="T9">
        <v>2.0614000000000001E-3</v>
      </c>
      <c r="U9">
        <v>3.2642999999999999E-3</v>
      </c>
      <c r="V9">
        <v>5.1749999999999999E-3</v>
      </c>
      <c r="W9">
        <v>9.0997999999999999E-3</v>
      </c>
      <c r="X9">
        <v>1.7187500000000001E-2</v>
      </c>
      <c r="Y9">
        <v>3.3081699999999999E-2</v>
      </c>
      <c r="Z9">
        <v>6.5034499999999995E-2</v>
      </c>
      <c r="AA9">
        <v>0.12883900000000001</v>
      </c>
      <c r="AB9">
        <v>0.25770799999999999</v>
      </c>
      <c r="AC9">
        <v>0.51493299999999997</v>
      </c>
      <c r="AD9">
        <v>1.0335799999999999</v>
      </c>
      <c r="AE9">
        <v>2.06534</v>
      </c>
      <c r="AF9">
        <v>4.1283599999999998</v>
      </c>
    </row>
    <row r="10" spans="1:32" x14ac:dyDescent="0.25">
      <c r="A10">
        <v>1.3083000000000001E-3</v>
      </c>
      <c r="B10">
        <v>1.4012E-3</v>
      </c>
      <c r="C10">
        <v>1.8878E-3</v>
      </c>
      <c r="D10">
        <v>2.3765000000000001E-3</v>
      </c>
      <c r="E10">
        <v>3.4145E-3</v>
      </c>
      <c r="F10">
        <v>5.4732000000000001E-3</v>
      </c>
      <c r="G10">
        <v>9.2280999999999995E-3</v>
      </c>
      <c r="H10">
        <v>1.7002799999999998E-2</v>
      </c>
      <c r="I10">
        <v>3.2476199999999997E-2</v>
      </c>
      <c r="J10">
        <v>6.3419600000000007E-2</v>
      </c>
      <c r="K10">
        <v>0.125392</v>
      </c>
      <c r="L10">
        <v>0.25000600000000001</v>
      </c>
      <c r="M10">
        <v>0.49936199999999997</v>
      </c>
      <c r="N10">
        <v>0.99651199999999995</v>
      </c>
      <c r="O10">
        <v>2.00122</v>
      </c>
      <c r="P10">
        <v>4.0007599999999996</v>
      </c>
      <c r="Q10">
        <v>1.1774000000000001E-3</v>
      </c>
      <c r="R10">
        <v>1.3125999999999999E-3</v>
      </c>
      <c r="S10">
        <v>1.7688999999999999E-3</v>
      </c>
      <c r="T10">
        <v>2.0711000000000002E-3</v>
      </c>
      <c r="U10">
        <v>3.506E-3</v>
      </c>
      <c r="V10">
        <v>5.2097000000000003E-3</v>
      </c>
      <c r="W10">
        <v>9.1456000000000003E-3</v>
      </c>
      <c r="X10">
        <v>1.7148299999999998E-2</v>
      </c>
      <c r="Y10">
        <v>3.3211699999999997E-2</v>
      </c>
      <c r="Z10">
        <v>6.5056100000000006E-2</v>
      </c>
      <c r="AA10">
        <v>0.12901299999999999</v>
      </c>
      <c r="AB10">
        <v>0.25778600000000002</v>
      </c>
      <c r="AC10">
        <v>0.51487499999999997</v>
      </c>
      <c r="AD10">
        <v>1.0334300000000001</v>
      </c>
      <c r="AE10">
        <v>2.0652400000000002</v>
      </c>
      <c r="AF10">
        <v>4.1288999999999998</v>
      </c>
    </row>
    <row r="11" spans="1:32" x14ac:dyDescent="0.25">
      <c r="A11">
        <v>1.335E-3</v>
      </c>
      <c r="B11">
        <v>1.5321E-3</v>
      </c>
      <c r="C11">
        <v>1.8489999999999999E-3</v>
      </c>
      <c r="D11">
        <v>2.5772E-3</v>
      </c>
      <c r="E11">
        <v>3.6408E-3</v>
      </c>
      <c r="F11">
        <v>5.2969999999999996E-3</v>
      </c>
      <c r="G11">
        <v>9.3396999999999994E-3</v>
      </c>
      <c r="H11">
        <v>1.7073600000000001E-2</v>
      </c>
      <c r="I11">
        <v>3.2521099999999997E-2</v>
      </c>
      <c r="J11">
        <v>6.3711000000000004E-2</v>
      </c>
      <c r="K11">
        <v>0.125363</v>
      </c>
      <c r="L11">
        <v>0.25015100000000001</v>
      </c>
      <c r="M11">
        <v>0.499361</v>
      </c>
      <c r="N11">
        <v>0.99647399999999997</v>
      </c>
      <c r="O11">
        <v>2.0013899999999998</v>
      </c>
      <c r="P11">
        <v>4.0007000000000001</v>
      </c>
      <c r="Q11">
        <v>1.4354999999999999E-3</v>
      </c>
      <c r="R11">
        <v>1.3791000000000001E-3</v>
      </c>
      <c r="S11">
        <v>1.951E-3</v>
      </c>
      <c r="T11">
        <v>2.0772999999999998E-3</v>
      </c>
      <c r="U11">
        <v>3.1051E-3</v>
      </c>
      <c r="V11">
        <v>5.0669E-3</v>
      </c>
      <c r="W11">
        <v>9.1585E-3</v>
      </c>
      <c r="X11">
        <v>1.72608E-2</v>
      </c>
      <c r="Y11">
        <v>3.3187000000000001E-2</v>
      </c>
      <c r="Z11">
        <v>6.4955299999999994E-2</v>
      </c>
      <c r="AA11">
        <v>0.12892999999999999</v>
      </c>
      <c r="AB11">
        <v>0.25773099999999999</v>
      </c>
      <c r="AC11">
        <v>0.51480199999999998</v>
      </c>
      <c r="AD11">
        <v>1.0338000000000001</v>
      </c>
      <c r="AE11">
        <v>2.0652400000000002</v>
      </c>
      <c r="AF11">
        <v>4.12866</v>
      </c>
    </row>
    <row r="12" spans="1:32" x14ac:dyDescent="0.25">
      <c r="A12">
        <v>1.606E-3</v>
      </c>
      <c r="B12">
        <v>1.5112999999999999E-3</v>
      </c>
      <c r="C12">
        <v>1.8209999999999999E-3</v>
      </c>
      <c r="D12">
        <v>2.5674999999999999E-3</v>
      </c>
      <c r="E12">
        <v>3.3489000000000001E-3</v>
      </c>
      <c r="F12">
        <v>5.4542999999999996E-3</v>
      </c>
      <c r="G12">
        <v>9.1497000000000002E-3</v>
      </c>
      <c r="H12">
        <v>1.7015499999999999E-2</v>
      </c>
      <c r="I12">
        <v>3.2479300000000003E-2</v>
      </c>
      <c r="J12">
        <v>6.3505000000000006E-2</v>
      </c>
      <c r="K12">
        <v>0.12546599999999999</v>
      </c>
      <c r="L12">
        <v>0.25023099999999998</v>
      </c>
      <c r="M12">
        <v>0.49948999999999999</v>
      </c>
      <c r="N12">
        <v>0.99637699999999996</v>
      </c>
      <c r="O12">
        <v>2.00122</v>
      </c>
      <c r="P12">
        <v>4.0014200000000004</v>
      </c>
      <c r="Q12">
        <v>1.4272E-3</v>
      </c>
      <c r="R12">
        <v>1.2971E-3</v>
      </c>
      <c r="S12">
        <v>1.9057E-3</v>
      </c>
      <c r="T12">
        <v>1.9897000000000001E-3</v>
      </c>
      <c r="U12">
        <v>3.1860999999999999E-3</v>
      </c>
      <c r="V12">
        <v>5.1748000000000002E-3</v>
      </c>
      <c r="W12">
        <v>9.1114999999999998E-3</v>
      </c>
      <c r="X12">
        <v>1.72596E-2</v>
      </c>
      <c r="Y12">
        <v>3.3135400000000002E-2</v>
      </c>
      <c r="Z12">
        <v>6.5009899999999995E-2</v>
      </c>
      <c r="AA12">
        <v>0.12898799999999999</v>
      </c>
      <c r="AB12">
        <v>0.25781999999999999</v>
      </c>
      <c r="AC12">
        <v>0.51483100000000004</v>
      </c>
      <c r="AD12">
        <v>1.03345</v>
      </c>
      <c r="AE12">
        <v>2.06528</v>
      </c>
      <c r="AF12">
        <v>4.1283399999999997</v>
      </c>
    </row>
    <row r="13" spans="1:32" x14ac:dyDescent="0.25">
      <c r="A13">
        <v>1.5034E-3</v>
      </c>
      <c r="B13">
        <v>1.3967999999999999E-3</v>
      </c>
      <c r="C13">
        <v>1.8618E-3</v>
      </c>
      <c r="D13">
        <v>2.8115000000000002E-3</v>
      </c>
      <c r="E13">
        <v>3.2964000000000001E-3</v>
      </c>
      <c r="F13">
        <v>5.3685E-3</v>
      </c>
      <c r="G13">
        <v>9.4453000000000002E-3</v>
      </c>
      <c r="H13">
        <v>1.76457E-2</v>
      </c>
      <c r="I13">
        <v>3.2560699999999998E-2</v>
      </c>
      <c r="J13">
        <v>6.3661599999999999E-2</v>
      </c>
      <c r="K13">
        <v>0.12520500000000001</v>
      </c>
      <c r="L13">
        <v>0.25020500000000001</v>
      </c>
      <c r="M13">
        <v>0.49941200000000002</v>
      </c>
      <c r="N13">
        <v>0.99633799999999995</v>
      </c>
      <c r="O13">
        <v>2.0012599999999998</v>
      </c>
      <c r="P13">
        <v>4.0009899999999998</v>
      </c>
      <c r="Q13">
        <v>1.2643000000000001E-3</v>
      </c>
      <c r="R13">
        <v>1.3303E-3</v>
      </c>
      <c r="S13">
        <v>1.8052000000000001E-3</v>
      </c>
      <c r="T13">
        <v>2.0763000000000001E-3</v>
      </c>
      <c r="U13">
        <v>3.1067999999999998E-3</v>
      </c>
      <c r="V13">
        <v>5.1146000000000004E-3</v>
      </c>
      <c r="W13">
        <v>9.3224999999999992E-3</v>
      </c>
      <c r="X13">
        <v>1.78344E-2</v>
      </c>
      <c r="Y13">
        <v>3.3010900000000003E-2</v>
      </c>
      <c r="Z13">
        <v>6.5051300000000006E-2</v>
      </c>
      <c r="AA13">
        <v>0.12892600000000001</v>
      </c>
      <c r="AB13">
        <v>0.25781599999999999</v>
      </c>
      <c r="AC13">
        <v>0.51478100000000004</v>
      </c>
      <c r="AD13">
        <v>1.03359</v>
      </c>
      <c r="AE13">
        <v>2.06542</v>
      </c>
      <c r="AF13">
        <v>4.1279000000000003</v>
      </c>
    </row>
    <row r="14" spans="1:32" x14ac:dyDescent="0.25">
      <c r="A14">
        <v>1.3699999999999999E-3</v>
      </c>
      <c r="B14">
        <v>1.4909000000000001E-3</v>
      </c>
      <c r="C14">
        <v>1.9772000000000001E-3</v>
      </c>
      <c r="D14">
        <v>2.5899E-3</v>
      </c>
      <c r="E14">
        <v>3.2406000000000002E-3</v>
      </c>
      <c r="F14">
        <v>5.555E-3</v>
      </c>
      <c r="G14">
        <v>9.1067000000000006E-3</v>
      </c>
      <c r="H14">
        <v>1.7194500000000001E-2</v>
      </c>
      <c r="I14">
        <v>3.2588199999999998E-2</v>
      </c>
      <c r="J14">
        <v>6.8596400000000002E-2</v>
      </c>
      <c r="K14">
        <v>0.12531500000000001</v>
      </c>
      <c r="L14">
        <v>0.25003900000000001</v>
      </c>
      <c r="M14">
        <v>0.49916300000000002</v>
      </c>
      <c r="N14">
        <v>0.99639200000000006</v>
      </c>
      <c r="O14">
        <v>2.0013100000000001</v>
      </c>
      <c r="P14">
        <v>4.00115</v>
      </c>
      <c r="Q14">
        <v>1.1957999999999999E-3</v>
      </c>
      <c r="R14">
        <v>1.2467999999999999E-3</v>
      </c>
      <c r="S14">
        <v>1.7235E-3</v>
      </c>
      <c r="T14">
        <v>2.0452999999999999E-3</v>
      </c>
      <c r="U14">
        <v>3.0598999999999999E-3</v>
      </c>
      <c r="V14">
        <v>5.0870999999999998E-3</v>
      </c>
      <c r="W14">
        <v>9.2055000000000001E-3</v>
      </c>
      <c r="X14">
        <v>1.7181100000000001E-2</v>
      </c>
      <c r="Y14">
        <v>3.3356700000000003E-2</v>
      </c>
      <c r="Z14">
        <v>6.51452E-2</v>
      </c>
      <c r="AA14">
        <v>0.128966</v>
      </c>
      <c r="AB14">
        <v>0.25790400000000002</v>
      </c>
      <c r="AC14">
        <v>0.51486399999999999</v>
      </c>
      <c r="AD14">
        <v>1.03362</v>
      </c>
      <c r="AE14">
        <v>2.0652300000000001</v>
      </c>
      <c r="AF14">
        <v>4.1281999999999996</v>
      </c>
    </row>
    <row r="15" spans="1:32" x14ac:dyDescent="0.25">
      <c r="A15">
        <v>1.335E-3</v>
      </c>
      <c r="B15">
        <v>1.5254999999999999E-3</v>
      </c>
      <c r="C15">
        <v>1.7294999999999999E-3</v>
      </c>
      <c r="D15">
        <v>2.4207999999999999E-3</v>
      </c>
      <c r="E15">
        <v>3.4101000000000001E-3</v>
      </c>
      <c r="F15">
        <v>5.4995E-3</v>
      </c>
      <c r="G15">
        <v>9.1547E-3</v>
      </c>
      <c r="H15">
        <v>1.7114399999999998E-2</v>
      </c>
      <c r="I15">
        <v>3.25651E-2</v>
      </c>
      <c r="J15">
        <v>6.3757300000000003E-2</v>
      </c>
      <c r="K15">
        <v>0.12561700000000001</v>
      </c>
      <c r="L15">
        <v>0.25024200000000002</v>
      </c>
      <c r="M15">
        <v>0.49918099999999999</v>
      </c>
      <c r="N15">
        <v>0.99642399999999998</v>
      </c>
      <c r="O15">
        <v>2.00143</v>
      </c>
      <c r="P15">
        <v>4.0009199999999998</v>
      </c>
      <c r="Q15">
        <v>1.2652E-3</v>
      </c>
      <c r="R15">
        <v>1.1372000000000001E-3</v>
      </c>
      <c r="S15">
        <v>1.6417000000000001E-3</v>
      </c>
      <c r="T15">
        <v>2.0327000000000001E-3</v>
      </c>
      <c r="U15">
        <v>3.1676E-3</v>
      </c>
      <c r="V15">
        <v>5.1935999999999996E-3</v>
      </c>
      <c r="W15">
        <v>9.0799000000000001E-3</v>
      </c>
      <c r="X15">
        <v>1.72689E-2</v>
      </c>
      <c r="Y15">
        <v>3.3334000000000003E-2</v>
      </c>
      <c r="Z15">
        <v>6.5081100000000003E-2</v>
      </c>
      <c r="AA15">
        <v>0.12898200000000001</v>
      </c>
      <c r="AB15">
        <v>0.25774200000000003</v>
      </c>
      <c r="AC15">
        <v>0.51486100000000001</v>
      </c>
      <c r="AD15">
        <v>1.0333600000000001</v>
      </c>
      <c r="AE15">
        <v>2.0655100000000002</v>
      </c>
      <c r="AF15">
        <v>4.1286800000000001</v>
      </c>
    </row>
    <row r="16" spans="1:32" x14ac:dyDescent="0.25">
      <c r="A16">
        <v>1.3864999999999999E-3</v>
      </c>
      <c r="B16">
        <v>1.5566E-3</v>
      </c>
      <c r="C16">
        <v>1.8044999999999999E-3</v>
      </c>
      <c r="D16">
        <v>2.3080000000000002E-3</v>
      </c>
      <c r="E16">
        <v>3.3804999999999998E-3</v>
      </c>
      <c r="F16">
        <v>5.3074000000000003E-3</v>
      </c>
      <c r="G16">
        <v>9.2219999999999993E-3</v>
      </c>
      <c r="H16">
        <v>1.7091800000000001E-2</v>
      </c>
      <c r="I16">
        <v>3.2483900000000003E-2</v>
      </c>
      <c r="J16">
        <v>6.3543199999999994E-2</v>
      </c>
      <c r="K16">
        <v>0.12609799999999999</v>
      </c>
      <c r="L16">
        <v>0.25008399999999997</v>
      </c>
      <c r="M16">
        <v>0.49925700000000001</v>
      </c>
      <c r="N16">
        <v>0.99651000000000001</v>
      </c>
      <c r="O16">
        <v>2.0012400000000001</v>
      </c>
      <c r="P16">
        <v>4.0007000000000001</v>
      </c>
      <c r="Q16">
        <v>1.2809E-3</v>
      </c>
      <c r="R16">
        <v>1.1352000000000001E-3</v>
      </c>
      <c r="S16">
        <v>1.663E-3</v>
      </c>
      <c r="T16">
        <v>2.0492000000000002E-3</v>
      </c>
      <c r="U16">
        <v>3.3365000000000001E-3</v>
      </c>
      <c r="V16">
        <v>5.2062999999999996E-3</v>
      </c>
      <c r="W16">
        <v>9.1403999999999999E-3</v>
      </c>
      <c r="X16">
        <v>1.7025599999999998E-2</v>
      </c>
      <c r="Y16">
        <v>3.3311899999999998E-2</v>
      </c>
      <c r="Z16">
        <v>6.5123500000000001E-2</v>
      </c>
      <c r="AA16">
        <v>0.12895699999999999</v>
      </c>
      <c r="AB16">
        <v>0.25766699999999998</v>
      </c>
      <c r="AC16">
        <v>0.51498600000000005</v>
      </c>
      <c r="AD16">
        <v>1.03335</v>
      </c>
      <c r="AE16">
        <v>2.0656300000000001</v>
      </c>
      <c r="AF16">
        <v>4.1286300000000002</v>
      </c>
    </row>
    <row r="17" spans="1:32" x14ac:dyDescent="0.25">
      <c r="A17">
        <v>1.3055E-3</v>
      </c>
      <c r="B17">
        <v>1.5188999999999999E-3</v>
      </c>
      <c r="C17">
        <v>1.8174E-3</v>
      </c>
      <c r="D17">
        <v>2.5839000000000001E-3</v>
      </c>
      <c r="E17">
        <v>3.2734999999999999E-3</v>
      </c>
      <c r="F17">
        <v>5.3103999999999998E-3</v>
      </c>
      <c r="G17">
        <v>9.1325E-3</v>
      </c>
      <c r="H17">
        <v>1.7086400000000002E-2</v>
      </c>
      <c r="I17">
        <v>3.2508799999999997E-2</v>
      </c>
      <c r="J17">
        <v>6.3752400000000001E-2</v>
      </c>
      <c r="K17">
        <v>0.12597700000000001</v>
      </c>
      <c r="L17">
        <v>0.25001499999999999</v>
      </c>
      <c r="M17">
        <v>0.49934699999999999</v>
      </c>
      <c r="N17">
        <v>0.99635899999999999</v>
      </c>
      <c r="O17">
        <v>2.0012099999999999</v>
      </c>
      <c r="P17">
        <v>4.0004400000000002</v>
      </c>
      <c r="Q17">
        <v>1.2045000000000001E-3</v>
      </c>
      <c r="R17">
        <v>1.1266E-3</v>
      </c>
      <c r="S17">
        <v>1.5818E-3</v>
      </c>
      <c r="T17">
        <v>2E-3</v>
      </c>
      <c r="U17">
        <v>3.2022999999999999E-3</v>
      </c>
      <c r="V17">
        <v>5.1653999999999997E-3</v>
      </c>
      <c r="W17">
        <v>9.1179E-3</v>
      </c>
      <c r="X17">
        <v>1.72304E-2</v>
      </c>
      <c r="Y17">
        <v>3.3317300000000001E-2</v>
      </c>
      <c r="Z17">
        <v>6.5026200000000006E-2</v>
      </c>
      <c r="AA17">
        <v>0.128918</v>
      </c>
      <c r="AB17">
        <v>0.25777099999999997</v>
      </c>
      <c r="AC17">
        <v>0.51471299999999998</v>
      </c>
      <c r="AD17">
        <v>1.0335099999999999</v>
      </c>
      <c r="AE17">
        <v>2.0652400000000002</v>
      </c>
      <c r="AF17">
        <v>4.1288200000000002</v>
      </c>
    </row>
    <row r="18" spans="1:32" x14ac:dyDescent="0.25">
      <c r="A18">
        <v>1.3290999999999999E-3</v>
      </c>
      <c r="B18">
        <v>1.6344E-3</v>
      </c>
      <c r="C18">
        <v>1.7029E-3</v>
      </c>
      <c r="D18">
        <v>2.3254999999999999E-3</v>
      </c>
      <c r="E18">
        <v>3.2782000000000002E-3</v>
      </c>
      <c r="F18">
        <v>5.5380000000000004E-3</v>
      </c>
      <c r="G18">
        <v>9.2493000000000002E-3</v>
      </c>
      <c r="H18">
        <v>1.6952700000000001E-2</v>
      </c>
      <c r="I18">
        <v>3.2342799999999998E-2</v>
      </c>
      <c r="J18">
        <v>6.3474900000000001E-2</v>
      </c>
      <c r="K18">
        <v>0.126001</v>
      </c>
      <c r="L18">
        <v>0.25013800000000003</v>
      </c>
      <c r="M18">
        <v>0.49939499999999998</v>
      </c>
      <c r="N18">
        <v>0.99644999999999995</v>
      </c>
      <c r="O18">
        <v>2.0011100000000002</v>
      </c>
      <c r="P18">
        <v>4.0004600000000003</v>
      </c>
      <c r="Q18">
        <v>1.1303000000000001E-3</v>
      </c>
      <c r="R18">
        <v>1.1954000000000001E-3</v>
      </c>
      <c r="S18">
        <v>1.7351999999999999E-3</v>
      </c>
      <c r="T18">
        <v>2.0144E-3</v>
      </c>
      <c r="U18">
        <v>3.1492E-3</v>
      </c>
      <c r="V18">
        <v>5.0958000000000002E-3</v>
      </c>
      <c r="W18">
        <v>9.1459000000000002E-3</v>
      </c>
      <c r="X18">
        <v>1.7137300000000001E-2</v>
      </c>
      <c r="Y18">
        <v>3.3192100000000002E-2</v>
      </c>
      <c r="Z18">
        <v>6.5115999999999993E-2</v>
      </c>
      <c r="AA18">
        <v>0.12881600000000001</v>
      </c>
      <c r="AB18">
        <v>0.257768</v>
      </c>
      <c r="AC18">
        <v>0.51483599999999996</v>
      </c>
      <c r="AD18">
        <v>1.03352</v>
      </c>
      <c r="AE18">
        <v>2.0653999999999999</v>
      </c>
      <c r="AF18">
        <v>4.1282899999999998</v>
      </c>
    </row>
    <row r="19" spans="1:32" x14ac:dyDescent="0.25">
      <c r="A19">
        <v>1.291E-3</v>
      </c>
      <c r="B19">
        <v>1.4877E-3</v>
      </c>
      <c r="C19">
        <v>1.6998E-3</v>
      </c>
      <c r="D19">
        <v>2.3798999999999999E-3</v>
      </c>
      <c r="E19">
        <v>3.4922E-3</v>
      </c>
      <c r="F19">
        <v>5.3235000000000001E-3</v>
      </c>
      <c r="G19">
        <v>9.0699999999999999E-3</v>
      </c>
      <c r="H19">
        <v>1.7046100000000002E-2</v>
      </c>
      <c r="I19">
        <v>3.24056E-2</v>
      </c>
      <c r="J19">
        <v>6.3533699999999999E-2</v>
      </c>
      <c r="K19">
        <v>0.12595400000000001</v>
      </c>
      <c r="L19">
        <v>0.25030999999999998</v>
      </c>
      <c r="M19">
        <v>0.49925399999999998</v>
      </c>
      <c r="N19">
        <v>0.99636400000000003</v>
      </c>
      <c r="O19">
        <v>2.0011700000000001</v>
      </c>
      <c r="P19">
        <v>4.0005100000000002</v>
      </c>
      <c r="Q19">
        <v>1.0709000000000001E-3</v>
      </c>
      <c r="R19">
        <v>1.2405000000000001E-3</v>
      </c>
      <c r="S19">
        <v>1.7715000000000001E-3</v>
      </c>
      <c r="T19">
        <v>1.9683999999999999E-3</v>
      </c>
      <c r="U19">
        <v>2.9583999999999999E-3</v>
      </c>
      <c r="V19">
        <v>5.0485E-3</v>
      </c>
      <c r="W19">
        <v>9.0825000000000003E-3</v>
      </c>
      <c r="X19">
        <v>1.7265200000000001E-2</v>
      </c>
      <c r="Y19">
        <v>3.3150399999999997E-2</v>
      </c>
      <c r="Z19">
        <v>6.5124500000000002E-2</v>
      </c>
      <c r="AA19">
        <v>0.12886600000000001</v>
      </c>
      <c r="AB19">
        <v>0.25774000000000002</v>
      </c>
      <c r="AC19">
        <v>0.51476100000000002</v>
      </c>
      <c r="AD19">
        <v>1.0336000000000001</v>
      </c>
      <c r="AE19">
        <v>2.06521</v>
      </c>
      <c r="AF19">
        <v>4.1281299999999996</v>
      </c>
    </row>
    <row r="20" spans="1:32" x14ac:dyDescent="0.25">
      <c r="A20">
        <v>1.3278000000000001E-3</v>
      </c>
      <c r="B20">
        <v>1.4159000000000001E-3</v>
      </c>
      <c r="C20">
        <v>1.7011000000000001E-3</v>
      </c>
      <c r="D20">
        <v>2.6606999999999998E-3</v>
      </c>
      <c r="E20">
        <v>3.6330999999999998E-3</v>
      </c>
      <c r="F20">
        <v>5.1849000000000001E-3</v>
      </c>
      <c r="G20">
        <v>9.6696000000000004E-3</v>
      </c>
      <c r="H20">
        <v>1.7045399999999999E-2</v>
      </c>
      <c r="I20">
        <v>3.2468499999999997E-2</v>
      </c>
      <c r="J20">
        <v>6.3760600000000001E-2</v>
      </c>
      <c r="K20">
        <v>0.125967</v>
      </c>
      <c r="L20">
        <v>0.25032900000000002</v>
      </c>
      <c r="M20">
        <v>0.49930999999999998</v>
      </c>
      <c r="N20">
        <v>0.99643300000000001</v>
      </c>
      <c r="O20">
        <v>2.0010400000000002</v>
      </c>
      <c r="P20">
        <v>4.0002000000000004</v>
      </c>
      <c r="Q20">
        <v>1.0744000000000001E-3</v>
      </c>
      <c r="R20">
        <v>1.1615E-3</v>
      </c>
      <c r="S20">
        <v>1.6371999999999999E-3</v>
      </c>
      <c r="T20">
        <v>1.9072E-3</v>
      </c>
      <c r="U20">
        <v>3.0284000000000001E-3</v>
      </c>
      <c r="V20">
        <v>5.1031000000000002E-3</v>
      </c>
      <c r="W20">
        <v>9.0404000000000005E-3</v>
      </c>
      <c r="X20">
        <v>1.7283699999999999E-2</v>
      </c>
      <c r="Y20">
        <v>3.3192100000000002E-2</v>
      </c>
      <c r="Z20">
        <v>6.5107200000000004E-2</v>
      </c>
      <c r="AA20">
        <v>0.12890799999999999</v>
      </c>
      <c r="AB20">
        <v>0.25781300000000001</v>
      </c>
      <c r="AC20">
        <v>0.51479399999999997</v>
      </c>
      <c r="AD20">
        <v>1.0336399999999999</v>
      </c>
      <c r="AE20">
        <v>2.0653600000000001</v>
      </c>
      <c r="AF20">
        <v>4.1284999999999998</v>
      </c>
    </row>
    <row r="21" spans="1:32" x14ac:dyDescent="0.25">
      <c r="A21">
        <v>1.338E-3</v>
      </c>
      <c r="B21">
        <v>1.5234000000000001E-3</v>
      </c>
      <c r="C21">
        <v>1.7064000000000001E-3</v>
      </c>
      <c r="D21">
        <v>2.5869000000000001E-3</v>
      </c>
      <c r="E21">
        <v>3.3598999999999999E-3</v>
      </c>
      <c r="F21">
        <v>5.4317999999999996E-3</v>
      </c>
      <c r="G21">
        <v>9.2723000000000007E-3</v>
      </c>
      <c r="H21">
        <v>1.7101100000000001E-2</v>
      </c>
      <c r="I21">
        <v>3.2572799999999999E-2</v>
      </c>
      <c r="J21">
        <v>6.3640199999999994E-2</v>
      </c>
      <c r="K21">
        <v>0.12598699999999999</v>
      </c>
      <c r="L21">
        <v>0.25017899999999998</v>
      </c>
      <c r="M21">
        <v>0.499164</v>
      </c>
      <c r="N21">
        <v>1.00013</v>
      </c>
      <c r="O21">
        <v>2.00109</v>
      </c>
      <c r="P21">
        <v>4.0001100000000003</v>
      </c>
      <c r="Q21">
        <v>1.2116E-3</v>
      </c>
      <c r="R21">
        <v>1.1218999999999999E-3</v>
      </c>
      <c r="S21">
        <v>1.4942E-3</v>
      </c>
      <c r="T21">
        <v>2.0091000000000002E-3</v>
      </c>
      <c r="U21">
        <v>2.9899000000000002E-3</v>
      </c>
      <c r="V21">
        <v>5.0901999999999996E-3</v>
      </c>
      <c r="W21">
        <v>9.0633999999999992E-3</v>
      </c>
      <c r="X21">
        <v>1.7330499999999999E-2</v>
      </c>
      <c r="Y21">
        <v>3.3001999999999997E-2</v>
      </c>
      <c r="Z21">
        <v>6.50641E-2</v>
      </c>
      <c r="AA21">
        <v>0.12894800000000001</v>
      </c>
      <c r="AB21">
        <v>0.25789600000000001</v>
      </c>
      <c r="AC21">
        <v>0.51493100000000003</v>
      </c>
      <c r="AD21">
        <v>1.03346</v>
      </c>
      <c r="AE21">
        <v>2.06534</v>
      </c>
      <c r="AF21">
        <v>4.1287500000000001</v>
      </c>
    </row>
    <row r="22" spans="1:32" x14ac:dyDescent="0.25">
      <c r="A22">
        <v>1.3110999999999999E-3</v>
      </c>
      <c r="B22">
        <v>1.4561999999999999E-3</v>
      </c>
      <c r="C22">
        <v>1.9778999999999999E-3</v>
      </c>
      <c r="D22">
        <v>2.6131000000000001E-3</v>
      </c>
      <c r="E22">
        <v>3.3384E-3</v>
      </c>
      <c r="F22">
        <v>5.4460999999999997E-3</v>
      </c>
      <c r="G22">
        <v>9.4173E-3</v>
      </c>
      <c r="H22">
        <v>1.7366099999999999E-2</v>
      </c>
      <c r="I22">
        <v>3.2504999999999999E-2</v>
      </c>
      <c r="J22">
        <v>6.3491000000000006E-2</v>
      </c>
      <c r="K22">
        <v>0.126165</v>
      </c>
      <c r="L22">
        <v>0.25019599999999997</v>
      </c>
      <c r="M22">
        <v>0.49914399999999998</v>
      </c>
      <c r="N22">
        <v>1.0021599999999999</v>
      </c>
      <c r="O22">
        <v>2.00109</v>
      </c>
      <c r="P22">
        <v>4.0004999999999997</v>
      </c>
      <c r="Q22">
        <v>1.1676E-3</v>
      </c>
      <c r="R22">
        <v>1.1463000000000001E-3</v>
      </c>
      <c r="S22">
        <v>1.456E-3</v>
      </c>
      <c r="T22">
        <v>1.9394E-3</v>
      </c>
      <c r="U22">
        <v>2.9922999999999998E-3</v>
      </c>
      <c r="V22">
        <v>5.1282999999999997E-3</v>
      </c>
      <c r="W22">
        <v>9.0401000000000006E-3</v>
      </c>
      <c r="X22">
        <v>1.7162899999999998E-2</v>
      </c>
      <c r="Y22">
        <v>3.3624099999999997E-2</v>
      </c>
      <c r="Z22">
        <v>6.5164100000000003E-2</v>
      </c>
      <c r="AA22">
        <v>0.128861</v>
      </c>
      <c r="AB22">
        <v>0.25790600000000002</v>
      </c>
      <c r="AC22">
        <v>0.51479600000000003</v>
      </c>
      <c r="AD22">
        <v>1.0334099999999999</v>
      </c>
      <c r="AE22">
        <v>2.0652699999999999</v>
      </c>
      <c r="AF22">
        <v>4.12826</v>
      </c>
    </row>
    <row r="23" spans="1:32" x14ac:dyDescent="0.25">
      <c r="A23">
        <v>1.3362999999999999E-3</v>
      </c>
      <c r="B23">
        <v>1.4197999999999999E-3</v>
      </c>
      <c r="C23">
        <v>1.7409000000000001E-3</v>
      </c>
      <c r="D23">
        <v>2.9513999999999999E-3</v>
      </c>
      <c r="E23">
        <v>3.228E-3</v>
      </c>
      <c r="F23">
        <v>5.4213999999999998E-3</v>
      </c>
      <c r="G23">
        <v>9.2866000000000008E-3</v>
      </c>
      <c r="H23">
        <v>1.69686E-2</v>
      </c>
      <c r="I23">
        <v>3.2676400000000001E-2</v>
      </c>
      <c r="J23">
        <v>6.3364500000000004E-2</v>
      </c>
      <c r="K23">
        <v>0.12606800000000001</v>
      </c>
      <c r="L23">
        <v>0.250581</v>
      </c>
      <c r="M23">
        <v>0.49920300000000001</v>
      </c>
      <c r="N23">
        <v>1.0020100000000001</v>
      </c>
      <c r="O23">
        <v>2.00088</v>
      </c>
      <c r="P23">
        <v>4.0006599999999999</v>
      </c>
      <c r="Q23">
        <v>1.0509E-3</v>
      </c>
      <c r="R23">
        <v>1.1169999999999999E-3</v>
      </c>
      <c r="S23">
        <v>1.5732999999999999E-3</v>
      </c>
      <c r="T23">
        <v>1.9376E-3</v>
      </c>
      <c r="U23">
        <v>3.0087E-3</v>
      </c>
      <c r="V23">
        <v>5.1451999999999999E-3</v>
      </c>
      <c r="W23">
        <v>9.0875000000000001E-3</v>
      </c>
      <c r="X23">
        <v>1.7150200000000001E-2</v>
      </c>
      <c r="Y23">
        <v>3.3170400000000003E-2</v>
      </c>
      <c r="Z23">
        <v>6.5031400000000003E-2</v>
      </c>
      <c r="AA23">
        <v>0.12875</v>
      </c>
      <c r="AB23">
        <v>0.25793100000000002</v>
      </c>
      <c r="AC23">
        <v>0.51476999999999995</v>
      </c>
      <c r="AD23">
        <v>1.03356</v>
      </c>
      <c r="AE23">
        <v>2.0654300000000001</v>
      </c>
      <c r="AF23">
        <v>4.1284400000000003</v>
      </c>
    </row>
    <row r="24" spans="1:32" x14ac:dyDescent="0.25">
      <c r="A24">
        <v>1.3071999999999999E-3</v>
      </c>
      <c r="B24">
        <v>1.3958E-3</v>
      </c>
      <c r="C24">
        <v>1.8083000000000001E-3</v>
      </c>
      <c r="D24">
        <v>2.7093999999999998E-3</v>
      </c>
      <c r="E24">
        <v>3.3192999999999999E-3</v>
      </c>
      <c r="F24">
        <v>5.3813000000000003E-3</v>
      </c>
      <c r="G24">
        <v>9.1493000000000008E-3</v>
      </c>
      <c r="H24">
        <v>1.6919300000000002E-2</v>
      </c>
      <c r="I24">
        <v>3.2619599999999999E-2</v>
      </c>
      <c r="J24">
        <v>6.3519199999999998E-2</v>
      </c>
      <c r="K24">
        <v>0.12615999999999999</v>
      </c>
      <c r="L24">
        <v>0.250195</v>
      </c>
      <c r="M24">
        <v>0.499305</v>
      </c>
      <c r="N24">
        <v>1.00196</v>
      </c>
      <c r="O24">
        <v>2.00115</v>
      </c>
      <c r="P24">
        <v>4.0001899999999999</v>
      </c>
      <c r="Q24">
        <v>9.7980000000000007E-4</v>
      </c>
      <c r="R24">
        <v>1.1287999999999999E-3</v>
      </c>
      <c r="S24">
        <v>1.562E-3</v>
      </c>
      <c r="T24">
        <v>1.8749000000000001E-3</v>
      </c>
      <c r="U24">
        <v>3.0933000000000002E-3</v>
      </c>
      <c r="V24">
        <v>5.1682000000000004E-3</v>
      </c>
      <c r="W24">
        <v>9.1587000000000005E-3</v>
      </c>
      <c r="X24">
        <v>1.72397E-2</v>
      </c>
      <c r="Y24">
        <v>3.3270599999999997E-2</v>
      </c>
      <c r="Z24">
        <v>6.5042100000000005E-2</v>
      </c>
      <c r="AA24">
        <v>0.12876899999999999</v>
      </c>
      <c r="AB24">
        <v>0.25778000000000001</v>
      </c>
      <c r="AC24">
        <v>0.51483599999999996</v>
      </c>
      <c r="AD24">
        <v>1.03352</v>
      </c>
      <c r="AE24">
        <v>2.0653800000000002</v>
      </c>
      <c r="AF24">
        <v>4.1285400000000001</v>
      </c>
    </row>
    <row r="25" spans="1:32" x14ac:dyDescent="0.25">
      <c r="A25">
        <v>1.2819999999999999E-3</v>
      </c>
      <c r="B25">
        <v>1.3816E-3</v>
      </c>
      <c r="C25">
        <v>1.8320000000000001E-3</v>
      </c>
      <c r="D25">
        <v>2.4149000000000002E-3</v>
      </c>
      <c r="E25">
        <v>3.2149000000000001E-3</v>
      </c>
      <c r="F25">
        <v>5.3001000000000003E-3</v>
      </c>
      <c r="G25">
        <v>9.2580000000000006E-3</v>
      </c>
      <c r="H25">
        <v>1.7080499999999998E-2</v>
      </c>
      <c r="I25">
        <v>3.2515000000000002E-2</v>
      </c>
      <c r="J25">
        <v>6.3739400000000002E-2</v>
      </c>
      <c r="K25">
        <v>0.12610299999999999</v>
      </c>
      <c r="L25">
        <v>0.25035200000000002</v>
      </c>
      <c r="M25">
        <v>0.49919400000000003</v>
      </c>
      <c r="N25">
        <v>1.0019899999999999</v>
      </c>
      <c r="O25">
        <v>2.0009800000000002</v>
      </c>
      <c r="P25">
        <v>4.0001800000000003</v>
      </c>
      <c r="Q25">
        <v>1.0330999999999999E-3</v>
      </c>
      <c r="R25">
        <v>1.1385E-3</v>
      </c>
      <c r="S25">
        <v>1.5213E-3</v>
      </c>
      <c r="T25">
        <v>2.1340999999999999E-3</v>
      </c>
      <c r="U25">
        <v>3.1656000000000002E-3</v>
      </c>
      <c r="V25">
        <v>5.1254999999999998E-3</v>
      </c>
      <c r="W25">
        <v>9.0881E-3</v>
      </c>
      <c r="X25">
        <v>1.7059399999999999E-2</v>
      </c>
      <c r="Y25">
        <v>3.3318899999999999E-2</v>
      </c>
      <c r="Z25">
        <v>6.5165399999999998E-2</v>
      </c>
      <c r="AA25">
        <v>0.129025</v>
      </c>
      <c r="AB25">
        <v>0.25763999999999998</v>
      </c>
      <c r="AC25">
        <v>0.51482799999999995</v>
      </c>
      <c r="AD25">
        <v>1.0334399999999999</v>
      </c>
      <c r="AE25">
        <v>2.06521</v>
      </c>
      <c r="AF25">
        <v>4.1289199999999999</v>
      </c>
    </row>
    <row r="26" spans="1:32" x14ac:dyDescent="0.25">
      <c r="A26">
        <v>1.2652E-3</v>
      </c>
      <c r="B26">
        <v>1.3913E-3</v>
      </c>
      <c r="C26">
        <v>1.7868000000000001E-3</v>
      </c>
      <c r="D26">
        <v>2.6045999999999999E-3</v>
      </c>
      <c r="E26">
        <v>3.2610999999999998E-3</v>
      </c>
      <c r="F26">
        <v>5.3508999999999996E-3</v>
      </c>
      <c r="G26">
        <v>9.2104000000000005E-3</v>
      </c>
      <c r="H26">
        <v>1.6988799999999998E-2</v>
      </c>
      <c r="I26">
        <v>3.2600799999999999E-2</v>
      </c>
      <c r="J26">
        <v>6.3580399999999995E-2</v>
      </c>
      <c r="K26">
        <v>0.12596199999999999</v>
      </c>
      <c r="L26">
        <v>0.25013600000000002</v>
      </c>
      <c r="M26">
        <v>0.49921100000000002</v>
      </c>
      <c r="N26">
        <v>1.00206</v>
      </c>
      <c r="O26">
        <v>2.0010300000000001</v>
      </c>
      <c r="P26">
        <v>4.0005699999999997</v>
      </c>
      <c r="Q26">
        <v>1.0505E-3</v>
      </c>
      <c r="R26">
        <v>1.1418999999999999E-3</v>
      </c>
      <c r="S26">
        <v>1.4174999999999999E-3</v>
      </c>
      <c r="T26">
        <v>1.9949E-3</v>
      </c>
      <c r="U26">
        <v>3.1957000000000001E-3</v>
      </c>
      <c r="V26">
        <v>5.1184999999999998E-3</v>
      </c>
      <c r="W26">
        <v>9.1740999999999993E-3</v>
      </c>
      <c r="X26">
        <v>1.7220800000000001E-2</v>
      </c>
      <c r="Y26">
        <v>3.3265900000000001E-2</v>
      </c>
      <c r="Z26">
        <v>6.5120399999999995E-2</v>
      </c>
      <c r="AA26">
        <v>0.12906400000000001</v>
      </c>
      <c r="AB26">
        <v>0.25779200000000002</v>
      </c>
      <c r="AC26">
        <v>0.51481299999999997</v>
      </c>
      <c r="AD26">
        <v>1.0334099999999999</v>
      </c>
      <c r="AE26">
        <v>2.0652900000000001</v>
      </c>
      <c r="AF26">
        <v>4.12852</v>
      </c>
    </row>
    <row r="27" spans="1:32" x14ac:dyDescent="0.25">
      <c r="A27">
        <v>1.2578000000000001E-3</v>
      </c>
      <c r="B27">
        <v>1.4040000000000001E-3</v>
      </c>
      <c r="C27">
        <v>1.7542E-3</v>
      </c>
      <c r="D27">
        <v>2.9093999999999999E-3</v>
      </c>
      <c r="E27">
        <v>3.2504000000000001E-3</v>
      </c>
      <c r="F27">
        <v>5.2797E-3</v>
      </c>
      <c r="G27">
        <v>9.2049000000000002E-3</v>
      </c>
      <c r="H27">
        <v>1.7127300000000002E-2</v>
      </c>
      <c r="I27">
        <v>3.2503299999999999E-2</v>
      </c>
      <c r="J27">
        <v>6.3597399999999998E-2</v>
      </c>
      <c r="K27">
        <v>0.12601200000000001</v>
      </c>
      <c r="L27">
        <v>0.25026300000000001</v>
      </c>
      <c r="M27">
        <v>0.49907200000000002</v>
      </c>
      <c r="N27">
        <v>1.00186</v>
      </c>
      <c r="O27">
        <v>2.0009899999999998</v>
      </c>
      <c r="P27">
        <v>4.0008499999999998</v>
      </c>
      <c r="Q27">
        <v>1.0939000000000001E-3</v>
      </c>
      <c r="R27">
        <v>1.1234999999999999E-3</v>
      </c>
      <c r="S27">
        <v>1.5981999999999999E-3</v>
      </c>
      <c r="T27">
        <v>2.1318999999999999E-3</v>
      </c>
      <c r="U27">
        <v>3.3129000000000001E-3</v>
      </c>
      <c r="V27">
        <v>5.1313000000000001E-3</v>
      </c>
      <c r="W27">
        <v>9.2099E-3</v>
      </c>
      <c r="X27">
        <v>1.74611E-2</v>
      </c>
      <c r="Y27">
        <v>3.32994E-2</v>
      </c>
      <c r="Z27">
        <v>6.4962000000000006E-2</v>
      </c>
      <c r="AA27">
        <v>0.128918</v>
      </c>
      <c r="AB27">
        <v>0.257826</v>
      </c>
      <c r="AC27">
        <v>0.51493900000000004</v>
      </c>
      <c r="AD27">
        <v>1.0333399999999999</v>
      </c>
      <c r="AE27">
        <v>2.06534</v>
      </c>
      <c r="AF27">
        <v>4.1282199999999998</v>
      </c>
    </row>
    <row r="28" spans="1:32" x14ac:dyDescent="0.25">
      <c r="A28">
        <v>1.2745E-3</v>
      </c>
      <c r="B28">
        <v>1.6377E-3</v>
      </c>
      <c r="C28">
        <v>1.6959E-3</v>
      </c>
      <c r="D28">
        <v>2.581E-3</v>
      </c>
      <c r="E28">
        <v>3.5682999999999999E-3</v>
      </c>
      <c r="F28">
        <v>5.2839999999999996E-3</v>
      </c>
      <c r="G28">
        <v>9.4497000000000001E-3</v>
      </c>
      <c r="H28">
        <v>1.7387099999999999E-2</v>
      </c>
      <c r="I28">
        <v>3.2537700000000003E-2</v>
      </c>
      <c r="J28">
        <v>6.34961E-2</v>
      </c>
      <c r="K28">
        <v>0.126058</v>
      </c>
      <c r="L28">
        <v>0.25018200000000002</v>
      </c>
      <c r="M28">
        <v>0.49914500000000001</v>
      </c>
      <c r="N28">
        <v>1.0021100000000001</v>
      </c>
      <c r="O28">
        <v>2.0011999999999999</v>
      </c>
      <c r="P28">
        <v>4.0004900000000001</v>
      </c>
      <c r="Q28">
        <v>1.0342999999999999E-3</v>
      </c>
      <c r="R28">
        <v>1.1272999999999999E-3</v>
      </c>
      <c r="S28">
        <v>1.4974000000000001E-3</v>
      </c>
      <c r="T28">
        <v>2.0555E-3</v>
      </c>
      <c r="U28">
        <v>3.0777999999999999E-3</v>
      </c>
      <c r="V28">
        <v>5.1298999999999997E-3</v>
      </c>
      <c r="W28">
        <v>9.0532000000000008E-3</v>
      </c>
      <c r="X28">
        <v>1.7406100000000001E-2</v>
      </c>
      <c r="Y28">
        <v>3.36288E-2</v>
      </c>
      <c r="Z28">
        <v>6.4971899999999999E-2</v>
      </c>
      <c r="AA28">
        <v>0.128917</v>
      </c>
      <c r="AB28">
        <v>0.25780700000000001</v>
      </c>
      <c r="AC28">
        <v>0.51489300000000005</v>
      </c>
      <c r="AD28">
        <v>1.03356</v>
      </c>
      <c r="AE28">
        <v>2.0653299999999999</v>
      </c>
      <c r="AF28">
        <v>4.1287399999999996</v>
      </c>
    </row>
    <row r="29" spans="1:32" x14ac:dyDescent="0.25">
      <c r="A29">
        <v>1.2332000000000001E-3</v>
      </c>
      <c r="B29">
        <v>1.9889E-3</v>
      </c>
      <c r="C29">
        <v>1.7030999999999999E-3</v>
      </c>
      <c r="D29">
        <v>2.4892999999999998E-3</v>
      </c>
      <c r="E29">
        <v>3.5195000000000001E-3</v>
      </c>
      <c r="F29">
        <v>5.2100000000000002E-3</v>
      </c>
      <c r="G29">
        <v>9.4213999999999999E-3</v>
      </c>
      <c r="H29">
        <v>1.72379E-2</v>
      </c>
      <c r="I29">
        <v>3.2406799999999999E-2</v>
      </c>
      <c r="J29">
        <v>6.3505000000000006E-2</v>
      </c>
      <c r="K29">
        <v>0.12574299999999999</v>
      </c>
      <c r="L29">
        <v>0.250282</v>
      </c>
      <c r="M29">
        <v>0.49897999999999998</v>
      </c>
      <c r="N29">
        <v>1.0020199999999999</v>
      </c>
      <c r="O29">
        <v>2.0009399999999999</v>
      </c>
      <c r="P29">
        <v>4.0006500000000003</v>
      </c>
      <c r="Q29">
        <v>1.0323000000000001E-3</v>
      </c>
      <c r="R29">
        <v>1.1134999999999999E-3</v>
      </c>
      <c r="S29">
        <v>1.4169E-3</v>
      </c>
      <c r="T29">
        <v>2.0541999999999999E-3</v>
      </c>
      <c r="U29">
        <v>3.1194999999999999E-3</v>
      </c>
      <c r="V29">
        <v>5.1763E-3</v>
      </c>
      <c r="W29">
        <v>9.1196999999999997E-3</v>
      </c>
      <c r="X29">
        <v>1.7489399999999999E-2</v>
      </c>
      <c r="Y29">
        <v>3.3309800000000001E-2</v>
      </c>
      <c r="Z29">
        <v>6.5036099999999999E-2</v>
      </c>
      <c r="AA29">
        <v>0.12878400000000001</v>
      </c>
      <c r="AB29">
        <v>0.258326</v>
      </c>
      <c r="AC29">
        <v>0.51477799999999996</v>
      </c>
      <c r="AD29">
        <v>1.0335300000000001</v>
      </c>
      <c r="AE29">
        <v>2.0651199999999998</v>
      </c>
      <c r="AF29">
        <v>4.1288400000000003</v>
      </c>
    </row>
    <row r="30" spans="1:32" x14ac:dyDescent="0.25">
      <c r="A30">
        <v>1.2921E-3</v>
      </c>
      <c r="B30">
        <v>2.2718E-3</v>
      </c>
      <c r="C30">
        <v>1.7435E-3</v>
      </c>
      <c r="D30">
        <v>2.6513999999999999E-3</v>
      </c>
      <c r="E30">
        <v>3.3159000000000001E-3</v>
      </c>
      <c r="F30">
        <v>5.3312000000000003E-3</v>
      </c>
      <c r="G30">
        <v>9.2492000000000008E-3</v>
      </c>
      <c r="H30">
        <v>1.69493E-2</v>
      </c>
      <c r="I30">
        <v>3.2562399999999998E-2</v>
      </c>
      <c r="J30">
        <v>6.3470100000000002E-2</v>
      </c>
      <c r="K30">
        <v>0.12587999999999999</v>
      </c>
      <c r="L30">
        <v>0.25009900000000002</v>
      </c>
      <c r="M30">
        <v>0.49920999999999999</v>
      </c>
      <c r="N30">
        <v>1.0019199999999999</v>
      </c>
      <c r="O30">
        <v>2.0007199999999998</v>
      </c>
      <c r="P30">
        <v>4.0005699999999997</v>
      </c>
      <c r="Q30">
        <v>1.0264E-3</v>
      </c>
      <c r="R30">
        <v>1.1318999999999999E-3</v>
      </c>
      <c r="S30">
        <v>1.3772000000000001E-3</v>
      </c>
      <c r="T30">
        <v>2.0439E-3</v>
      </c>
      <c r="U30">
        <v>3.2707999999999999E-3</v>
      </c>
      <c r="V30">
        <v>5.0675E-3</v>
      </c>
      <c r="W30">
        <v>9.0472E-3</v>
      </c>
      <c r="X30">
        <v>1.7303300000000001E-2</v>
      </c>
      <c r="Y30">
        <v>3.3173800000000003E-2</v>
      </c>
      <c r="Z30">
        <v>6.5084900000000001E-2</v>
      </c>
      <c r="AA30">
        <v>0.12883900000000001</v>
      </c>
      <c r="AB30">
        <v>0.25820700000000002</v>
      </c>
      <c r="AC30">
        <v>0.51487000000000005</v>
      </c>
      <c r="AD30">
        <v>1.03348</v>
      </c>
      <c r="AE30">
        <v>2.0651899999999999</v>
      </c>
      <c r="AF30">
        <v>4.1283300000000001</v>
      </c>
    </row>
    <row r="31" spans="1:32" x14ac:dyDescent="0.25">
      <c r="A31">
        <v>1.2523E-3</v>
      </c>
      <c r="B31">
        <v>1.6555000000000001E-3</v>
      </c>
      <c r="C31">
        <v>1.6953999999999999E-3</v>
      </c>
      <c r="D31">
        <v>2.5404999999999998E-3</v>
      </c>
      <c r="E31">
        <v>3.3057999999999998E-3</v>
      </c>
      <c r="F31">
        <v>5.1895999999999999E-3</v>
      </c>
      <c r="G31">
        <v>9.3366999999999999E-3</v>
      </c>
      <c r="H31">
        <v>1.7051199999999999E-2</v>
      </c>
      <c r="I31">
        <v>3.2729899999999999E-2</v>
      </c>
      <c r="J31">
        <v>6.3547400000000004E-2</v>
      </c>
      <c r="K31">
        <v>0.125828</v>
      </c>
      <c r="L31">
        <v>0.250079</v>
      </c>
      <c r="M31">
        <v>0.49923299999999998</v>
      </c>
      <c r="N31">
        <v>1.00203</v>
      </c>
      <c r="O31">
        <v>2.0009199999999998</v>
      </c>
      <c r="P31">
        <v>4.00075</v>
      </c>
      <c r="Q31">
        <v>1.1155E-3</v>
      </c>
      <c r="R31">
        <v>1.1607E-3</v>
      </c>
      <c r="S31">
        <v>1.6521999999999999E-3</v>
      </c>
      <c r="T31">
        <v>2.0614000000000001E-3</v>
      </c>
      <c r="U31">
        <v>3.0393999999999998E-3</v>
      </c>
      <c r="V31">
        <v>5.1631000000000003E-3</v>
      </c>
      <c r="W31">
        <v>9.0913000000000001E-3</v>
      </c>
      <c r="X31">
        <v>1.7131199999999999E-2</v>
      </c>
      <c r="Y31">
        <v>3.3220300000000001E-2</v>
      </c>
      <c r="Z31">
        <v>6.4962500000000006E-2</v>
      </c>
      <c r="AA31">
        <v>0.128942</v>
      </c>
      <c r="AB31">
        <v>0.25817499999999999</v>
      </c>
      <c r="AC31">
        <v>0.51488199999999995</v>
      </c>
      <c r="AD31">
        <v>1.0334399999999999</v>
      </c>
      <c r="AE31">
        <v>2.06535</v>
      </c>
      <c r="AF31">
        <v>4.1286500000000004</v>
      </c>
    </row>
    <row r="32" spans="1:32" x14ac:dyDescent="0.25">
      <c r="A32">
        <v>1.2976999999999999E-3</v>
      </c>
      <c r="B32">
        <v>1.6501E-3</v>
      </c>
      <c r="C32">
        <v>1.6754999999999999E-3</v>
      </c>
      <c r="D32">
        <v>2.5520999999999999E-3</v>
      </c>
      <c r="E32">
        <v>3.3313000000000001E-3</v>
      </c>
      <c r="F32">
        <v>5.3937000000000004E-3</v>
      </c>
      <c r="G32">
        <v>1.6267899999999998E-2</v>
      </c>
      <c r="H32">
        <v>1.7012900000000001E-2</v>
      </c>
      <c r="I32">
        <v>3.2632599999999998E-2</v>
      </c>
      <c r="J32">
        <v>6.3380800000000001E-2</v>
      </c>
      <c r="K32">
        <v>0.12617200000000001</v>
      </c>
      <c r="L32">
        <v>0.250031</v>
      </c>
      <c r="M32">
        <v>0.49919799999999998</v>
      </c>
      <c r="N32">
        <v>1.0019199999999999</v>
      </c>
      <c r="O32">
        <v>2.0009399999999999</v>
      </c>
      <c r="P32">
        <v>4.00007</v>
      </c>
      <c r="Q32">
        <v>1.1155E-3</v>
      </c>
      <c r="R32">
        <v>1.2796000000000001E-3</v>
      </c>
      <c r="S32">
        <v>1.7110999999999999E-3</v>
      </c>
      <c r="T32">
        <v>2.0360999999999999E-3</v>
      </c>
      <c r="U32">
        <v>3.0547999999999999E-3</v>
      </c>
      <c r="V32">
        <v>5.1113E-3</v>
      </c>
      <c r="W32">
        <v>9.1185999999999993E-3</v>
      </c>
      <c r="X32">
        <v>1.7212399999999999E-2</v>
      </c>
      <c r="Y32">
        <v>3.3034099999999997E-2</v>
      </c>
      <c r="Z32">
        <v>6.5112799999999998E-2</v>
      </c>
      <c r="AA32">
        <v>0.128993</v>
      </c>
      <c r="AB32">
        <v>0.25834499999999999</v>
      </c>
      <c r="AC32">
        <v>0.51484700000000005</v>
      </c>
      <c r="AD32">
        <v>1.03356</v>
      </c>
      <c r="AE32">
        <v>2.0655899999999998</v>
      </c>
      <c r="AF32">
        <v>4.1283300000000001</v>
      </c>
    </row>
    <row r="33" spans="1:32" x14ac:dyDescent="0.25">
      <c r="A33">
        <v>1.2474999999999999E-3</v>
      </c>
      <c r="B33">
        <v>1.8332000000000001E-3</v>
      </c>
      <c r="C33">
        <v>1.8113999999999999E-3</v>
      </c>
      <c r="D33">
        <v>2.3582E-3</v>
      </c>
      <c r="E33">
        <v>3.3449999999999999E-3</v>
      </c>
      <c r="F33">
        <v>5.3540000000000003E-3</v>
      </c>
      <c r="G33">
        <v>9.3647000000000001E-3</v>
      </c>
      <c r="H33">
        <v>1.7434000000000002E-2</v>
      </c>
      <c r="I33">
        <v>3.2632800000000003E-2</v>
      </c>
      <c r="J33">
        <v>6.3388899999999998E-2</v>
      </c>
      <c r="K33">
        <v>0.12601699999999999</v>
      </c>
      <c r="L33">
        <v>0.25004999999999999</v>
      </c>
      <c r="M33">
        <v>0.49920399999999998</v>
      </c>
      <c r="N33">
        <v>1.0019199999999999</v>
      </c>
      <c r="O33">
        <v>2.00082</v>
      </c>
      <c r="P33">
        <v>4.0001800000000003</v>
      </c>
      <c r="Q33">
        <v>1.0604E-3</v>
      </c>
      <c r="R33">
        <v>1.1716000000000001E-3</v>
      </c>
      <c r="S33">
        <v>1.8113999999999999E-3</v>
      </c>
      <c r="T33">
        <v>2.1226000000000001E-3</v>
      </c>
      <c r="U33">
        <v>3.0596E-3</v>
      </c>
      <c r="V33">
        <v>5.1225999999999997E-3</v>
      </c>
      <c r="W33">
        <v>9.1205000000000001E-3</v>
      </c>
      <c r="X33">
        <v>1.7353400000000001E-2</v>
      </c>
      <c r="Y33">
        <v>3.3463E-2</v>
      </c>
      <c r="Z33">
        <v>6.4940300000000006E-2</v>
      </c>
      <c r="AA33">
        <v>0.12891900000000001</v>
      </c>
      <c r="AB33">
        <v>0.25810300000000003</v>
      </c>
      <c r="AC33">
        <v>0.514818</v>
      </c>
      <c r="AD33">
        <v>1.03339</v>
      </c>
      <c r="AE33">
        <v>2.0653800000000002</v>
      </c>
      <c r="AF33">
        <v>4.1284299999999998</v>
      </c>
    </row>
    <row r="34" spans="1:32" x14ac:dyDescent="0.25">
      <c r="A34">
        <v>1.3058E-3</v>
      </c>
      <c r="B34">
        <v>1.573E-3</v>
      </c>
      <c r="C34">
        <v>1.7884999999999999E-3</v>
      </c>
      <c r="D34">
        <v>2.5699999999999998E-3</v>
      </c>
      <c r="E34">
        <v>3.3557999999999999E-3</v>
      </c>
      <c r="F34">
        <v>5.3423000000000003E-3</v>
      </c>
      <c r="G34">
        <v>9.0927999999999998E-3</v>
      </c>
      <c r="H34">
        <v>1.7195999999999999E-2</v>
      </c>
      <c r="I34">
        <v>3.2632399999999999E-2</v>
      </c>
      <c r="J34">
        <v>6.35767E-2</v>
      </c>
      <c r="K34">
        <v>0.125967</v>
      </c>
      <c r="L34">
        <v>0.25006400000000001</v>
      </c>
      <c r="M34">
        <v>0.49937300000000001</v>
      </c>
      <c r="N34">
        <v>1.0018800000000001</v>
      </c>
      <c r="O34">
        <v>2.0008699999999999</v>
      </c>
      <c r="P34">
        <v>4.0001199999999999</v>
      </c>
      <c r="Q34">
        <v>1.0356E-3</v>
      </c>
      <c r="R34">
        <v>1.1322000000000001E-3</v>
      </c>
      <c r="S34">
        <v>1.6923999999999999E-3</v>
      </c>
      <c r="T34">
        <v>2.1159E-3</v>
      </c>
      <c r="U34">
        <v>3.1313999999999999E-3</v>
      </c>
      <c r="V34">
        <v>5.1653000000000003E-3</v>
      </c>
      <c r="W34">
        <v>9.1555000000000004E-3</v>
      </c>
      <c r="X34">
        <v>1.7222700000000001E-2</v>
      </c>
      <c r="Y34">
        <v>3.3204999999999998E-2</v>
      </c>
      <c r="Z34">
        <v>6.5152299999999996E-2</v>
      </c>
      <c r="AA34">
        <v>0.12878800000000001</v>
      </c>
      <c r="AB34">
        <v>0.25819199999999998</v>
      </c>
      <c r="AC34">
        <v>0.51480199999999998</v>
      </c>
      <c r="AD34">
        <v>1.0333699999999999</v>
      </c>
      <c r="AE34">
        <v>2.0653600000000001</v>
      </c>
      <c r="AF34">
        <v>4.12852</v>
      </c>
    </row>
    <row r="35" spans="1:32" x14ac:dyDescent="0.25">
      <c r="A35">
        <v>1.2851E-3</v>
      </c>
      <c r="B35">
        <v>1.5998E-3</v>
      </c>
      <c r="C35">
        <v>1.7286000000000001E-3</v>
      </c>
      <c r="D35">
        <v>2.3915999999999998E-3</v>
      </c>
      <c r="E35">
        <v>3.3037000000000001E-3</v>
      </c>
      <c r="F35">
        <v>5.3109000000000003E-3</v>
      </c>
      <c r="G35">
        <v>9.4304000000000002E-3</v>
      </c>
      <c r="H35">
        <v>1.7107899999999999E-2</v>
      </c>
      <c r="I35">
        <v>3.2634200000000002E-2</v>
      </c>
      <c r="J35">
        <v>6.3503599999999993E-2</v>
      </c>
      <c r="K35">
        <v>0.126136</v>
      </c>
      <c r="L35">
        <v>0.25010500000000002</v>
      </c>
      <c r="M35">
        <v>0.49917</v>
      </c>
      <c r="N35">
        <v>1.0019199999999999</v>
      </c>
      <c r="O35">
        <v>2.00082</v>
      </c>
      <c r="P35">
        <v>3.9999899999999999</v>
      </c>
      <c r="Q35">
        <v>1.0330000000000001E-3</v>
      </c>
      <c r="R35">
        <v>1.1178E-3</v>
      </c>
      <c r="S35">
        <v>1.5481E-3</v>
      </c>
      <c r="T35">
        <v>2.0523E-3</v>
      </c>
      <c r="U35">
        <v>3.0823999999999999E-3</v>
      </c>
      <c r="V35">
        <v>5.0296000000000004E-3</v>
      </c>
      <c r="W35">
        <v>9.2026999999999994E-3</v>
      </c>
      <c r="X35">
        <v>1.7242199999999999E-2</v>
      </c>
      <c r="Y35">
        <v>3.3095899999999998E-2</v>
      </c>
      <c r="Z35">
        <v>6.5006499999999995E-2</v>
      </c>
      <c r="AA35">
        <v>0.128966</v>
      </c>
      <c r="AB35">
        <v>0.25812200000000002</v>
      </c>
      <c r="AC35">
        <v>0.51485099999999995</v>
      </c>
      <c r="AD35">
        <v>1.0335000000000001</v>
      </c>
      <c r="AE35">
        <v>2.06535</v>
      </c>
      <c r="AF35">
        <v>4.1282699999999997</v>
      </c>
    </row>
    <row r="36" spans="1:32" x14ac:dyDescent="0.25">
      <c r="A36">
        <v>1.7221000000000001E-3</v>
      </c>
      <c r="B36">
        <v>1.5824999999999999E-3</v>
      </c>
      <c r="C36">
        <v>1.6896999999999999E-3</v>
      </c>
      <c r="D36">
        <v>2.3503999999999999E-3</v>
      </c>
      <c r="E36">
        <v>3.3165E-3</v>
      </c>
      <c r="F36">
        <v>5.5240000000000003E-3</v>
      </c>
      <c r="G36">
        <v>9.2584E-3</v>
      </c>
      <c r="H36">
        <v>1.7173500000000001E-2</v>
      </c>
      <c r="I36">
        <v>3.2450699999999999E-2</v>
      </c>
      <c r="J36">
        <v>6.3509200000000002E-2</v>
      </c>
      <c r="K36">
        <v>0.125915</v>
      </c>
      <c r="L36">
        <v>0.25023699999999999</v>
      </c>
      <c r="M36">
        <v>0.49928800000000001</v>
      </c>
      <c r="N36">
        <v>1.0018499999999999</v>
      </c>
      <c r="O36">
        <v>2.0007999999999999</v>
      </c>
      <c r="P36">
        <v>3.9997099999999999</v>
      </c>
      <c r="Q36">
        <v>1.0593E-3</v>
      </c>
      <c r="R36">
        <v>1.1232E-3</v>
      </c>
      <c r="S36">
        <v>1.5508E-3</v>
      </c>
      <c r="T36">
        <v>2.2328999999999999E-3</v>
      </c>
      <c r="U36">
        <v>2.9424E-3</v>
      </c>
      <c r="V36">
        <v>5.0765000000000003E-3</v>
      </c>
      <c r="W36">
        <v>9.3775999999999998E-3</v>
      </c>
      <c r="X36">
        <v>1.7250999999999999E-2</v>
      </c>
      <c r="Y36">
        <v>3.3274199999999997E-2</v>
      </c>
      <c r="Z36">
        <v>6.5112299999999998E-2</v>
      </c>
      <c r="AA36">
        <v>0.12886300000000001</v>
      </c>
      <c r="AB36">
        <v>0.258023</v>
      </c>
      <c r="AC36">
        <v>0.51476599999999995</v>
      </c>
      <c r="AD36">
        <v>1.0334000000000001</v>
      </c>
      <c r="AE36">
        <v>2.0653299999999999</v>
      </c>
      <c r="AF36">
        <v>4.1286100000000001</v>
      </c>
    </row>
    <row r="37" spans="1:32" x14ac:dyDescent="0.25">
      <c r="A37">
        <v>1.6348000000000001E-3</v>
      </c>
      <c r="B37">
        <v>1.676E-3</v>
      </c>
      <c r="C37">
        <v>1.7266E-3</v>
      </c>
      <c r="D37">
        <v>2.3785E-3</v>
      </c>
      <c r="E37">
        <v>3.3395E-3</v>
      </c>
      <c r="F37">
        <v>5.3194000000000002E-3</v>
      </c>
      <c r="G37">
        <v>9.3290000000000005E-3</v>
      </c>
      <c r="H37">
        <v>1.7676799999999999E-2</v>
      </c>
      <c r="I37">
        <v>3.2451800000000003E-2</v>
      </c>
      <c r="J37">
        <v>6.3668299999999997E-2</v>
      </c>
      <c r="K37">
        <v>0.12581899999999999</v>
      </c>
      <c r="L37">
        <v>0.25014999999999998</v>
      </c>
      <c r="M37">
        <v>0.49912200000000001</v>
      </c>
      <c r="N37">
        <v>1.00196</v>
      </c>
      <c r="O37">
        <v>2.0006599999999999</v>
      </c>
      <c r="P37">
        <v>3.9996200000000002</v>
      </c>
      <c r="Q37">
        <v>1.0314E-3</v>
      </c>
      <c r="R37">
        <v>1.1366E-3</v>
      </c>
      <c r="S37">
        <v>1.6325000000000001E-3</v>
      </c>
      <c r="T37">
        <v>2.1878000000000002E-3</v>
      </c>
      <c r="U37">
        <v>3.0666000000000001E-3</v>
      </c>
      <c r="V37">
        <v>5.1628000000000004E-3</v>
      </c>
      <c r="W37">
        <v>9.1406000000000005E-3</v>
      </c>
      <c r="X37">
        <v>1.7093199999999999E-2</v>
      </c>
      <c r="Y37">
        <v>3.3236599999999998E-2</v>
      </c>
      <c r="Z37">
        <v>6.50197E-2</v>
      </c>
      <c r="AA37">
        <v>0.128881</v>
      </c>
      <c r="AB37">
        <v>0.25800499999999998</v>
      </c>
      <c r="AC37">
        <v>0.51487899999999998</v>
      </c>
      <c r="AD37">
        <v>1.0335000000000001</v>
      </c>
      <c r="AE37">
        <v>2.0654699999999999</v>
      </c>
      <c r="AF37">
        <v>4.1286800000000001</v>
      </c>
    </row>
    <row r="38" spans="1:32" x14ac:dyDescent="0.25">
      <c r="A38">
        <v>1.4450000000000001E-3</v>
      </c>
      <c r="B38">
        <v>1.9567E-3</v>
      </c>
      <c r="C38">
        <v>3.8073E-3</v>
      </c>
      <c r="D38">
        <v>2.3159999999999999E-3</v>
      </c>
      <c r="E38">
        <v>3.3912E-3</v>
      </c>
      <c r="F38">
        <v>5.5323000000000004E-3</v>
      </c>
      <c r="G38">
        <v>9.3480000000000004E-3</v>
      </c>
      <c r="H38">
        <v>1.69908E-2</v>
      </c>
      <c r="I38">
        <v>3.2453999999999997E-2</v>
      </c>
      <c r="J38">
        <v>6.3672599999999996E-2</v>
      </c>
      <c r="K38">
        <v>0.126054</v>
      </c>
      <c r="L38">
        <v>0.25024299999999999</v>
      </c>
      <c r="M38">
        <v>0.49931999999999999</v>
      </c>
      <c r="N38">
        <v>1.0019100000000001</v>
      </c>
      <c r="O38">
        <v>2.0008400000000002</v>
      </c>
      <c r="P38">
        <v>4.0001499999999997</v>
      </c>
      <c r="Q38">
        <v>1.0244E-3</v>
      </c>
      <c r="R38">
        <v>1.1372999999999999E-3</v>
      </c>
      <c r="S38">
        <v>1.7853000000000001E-3</v>
      </c>
      <c r="T38">
        <v>2.1670000000000001E-3</v>
      </c>
      <c r="U38">
        <v>3.0363E-3</v>
      </c>
      <c r="V38">
        <v>5.1187999999999997E-3</v>
      </c>
      <c r="W38">
        <v>9.0255999999999999E-3</v>
      </c>
      <c r="X38">
        <v>1.7177600000000001E-2</v>
      </c>
      <c r="Y38">
        <v>3.3265999999999997E-2</v>
      </c>
      <c r="Z38">
        <v>6.5069100000000005E-2</v>
      </c>
      <c r="AA38">
        <v>0.128831</v>
      </c>
      <c r="AB38">
        <v>0.258185</v>
      </c>
      <c r="AC38">
        <v>0.51487700000000003</v>
      </c>
      <c r="AD38">
        <v>1.03352</v>
      </c>
      <c r="AE38">
        <v>2.0654699999999999</v>
      </c>
      <c r="AF38">
        <v>4.1288600000000004</v>
      </c>
    </row>
    <row r="39" spans="1:32" x14ac:dyDescent="0.25">
      <c r="A39">
        <v>1.2879E-3</v>
      </c>
      <c r="B39">
        <v>1.5421E-3</v>
      </c>
      <c r="C39">
        <v>1.6000000000000001E-3</v>
      </c>
      <c r="D39">
        <v>2.2293E-3</v>
      </c>
      <c r="E39">
        <v>3.3238E-3</v>
      </c>
      <c r="F39">
        <v>5.4231000000000001E-3</v>
      </c>
      <c r="G39">
        <v>9.2122000000000002E-3</v>
      </c>
      <c r="H39">
        <v>1.7111899999999999E-2</v>
      </c>
      <c r="I39">
        <v>3.2303400000000003E-2</v>
      </c>
      <c r="J39">
        <v>6.3511999999999999E-2</v>
      </c>
      <c r="K39">
        <v>0.126059</v>
      </c>
      <c r="L39">
        <v>0.250222</v>
      </c>
      <c r="M39">
        <v>0.49926900000000002</v>
      </c>
      <c r="N39">
        <v>1.00186</v>
      </c>
      <c r="O39">
        <v>2.0008400000000002</v>
      </c>
      <c r="P39">
        <v>3.9998300000000002</v>
      </c>
      <c r="Q39">
        <v>1.0835E-3</v>
      </c>
      <c r="R39">
        <v>1.1435E-3</v>
      </c>
      <c r="S39">
        <v>1.5218E-3</v>
      </c>
      <c r="T39">
        <v>2.0711000000000002E-3</v>
      </c>
      <c r="U39">
        <v>3.1611999999999999E-3</v>
      </c>
      <c r="V39">
        <v>5.1906000000000001E-3</v>
      </c>
      <c r="W39">
        <v>9.1269999999999997E-3</v>
      </c>
      <c r="X39">
        <v>1.7250499999999998E-2</v>
      </c>
      <c r="Y39">
        <v>3.3345300000000001E-2</v>
      </c>
      <c r="Z39">
        <v>6.5164E-2</v>
      </c>
      <c r="AA39">
        <v>0.12879099999999999</v>
      </c>
      <c r="AB39">
        <v>0.25827299999999997</v>
      </c>
      <c r="AC39">
        <v>0.51474500000000001</v>
      </c>
      <c r="AD39">
        <v>1.0335399999999999</v>
      </c>
      <c r="AE39">
        <v>2.06541</v>
      </c>
      <c r="AF39">
        <v>4.1285400000000001</v>
      </c>
    </row>
    <row r="40" spans="1:32" x14ac:dyDescent="0.25">
      <c r="A40">
        <v>1.3087999999999999E-3</v>
      </c>
      <c r="B40">
        <v>1.534E-3</v>
      </c>
      <c r="C40">
        <v>1.6607E-3</v>
      </c>
      <c r="D40">
        <v>2.4280999999999999E-3</v>
      </c>
      <c r="E40">
        <v>3.2775999999999999E-3</v>
      </c>
      <c r="F40">
        <v>5.3749999999999996E-3</v>
      </c>
      <c r="G40">
        <v>9.2603000000000008E-3</v>
      </c>
      <c r="H40">
        <v>1.72566E-2</v>
      </c>
      <c r="I40">
        <v>3.2492100000000003E-2</v>
      </c>
      <c r="J40">
        <v>6.3535400000000006E-2</v>
      </c>
      <c r="K40">
        <v>0.12592400000000001</v>
      </c>
      <c r="L40">
        <v>0.25014399999999998</v>
      </c>
      <c r="M40">
        <v>0.49909300000000001</v>
      </c>
      <c r="N40">
        <v>1.0018100000000001</v>
      </c>
      <c r="O40">
        <v>2.00088</v>
      </c>
      <c r="P40">
        <v>4.0000400000000003</v>
      </c>
      <c r="Q40">
        <v>1.0457999999999999E-3</v>
      </c>
      <c r="R40">
        <v>1.1163E-3</v>
      </c>
      <c r="S40">
        <v>1.4748999999999999E-3</v>
      </c>
      <c r="T40">
        <v>2.1053000000000001E-3</v>
      </c>
      <c r="U40">
        <v>3.1218000000000001E-3</v>
      </c>
      <c r="V40">
        <v>5.1891000000000003E-3</v>
      </c>
      <c r="W40">
        <v>9.1357000000000001E-3</v>
      </c>
      <c r="X40">
        <v>1.7338900000000001E-2</v>
      </c>
      <c r="Y40">
        <v>3.3328799999999999E-2</v>
      </c>
      <c r="Z40">
        <v>6.5033499999999994E-2</v>
      </c>
      <c r="AA40">
        <v>0.12886400000000001</v>
      </c>
      <c r="AB40">
        <v>0.25822600000000001</v>
      </c>
      <c r="AC40">
        <v>0.51477499999999998</v>
      </c>
      <c r="AD40">
        <v>1.03346</v>
      </c>
      <c r="AE40">
        <v>2.0654400000000002</v>
      </c>
      <c r="AF40">
        <v>4.12812</v>
      </c>
    </row>
    <row r="41" spans="1:32" x14ac:dyDescent="0.25">
      <c r="A41">
        <v>1.3159000000000001E-3</v>
      </c>
      <c r="B41">
        <v>1.5238000000000001E-3</v>
      </c>
      <c r="C41">
        <v>1.7053999999999999E-3</v>
      </c>
      <c r="D41">
        <v>2.3481000000000001E-3</v>
      </c>
      <c r="E41">
        <v>3.3931999999999999E-3</v>
      </c>
      <c r="F41">
        <v>5.3658000000000004E-3</v>
      </c>
      <c r="G41">
        <v>9.2797000000000001E-3</v>
      </c>
      <c r="H41">
        <v>1.7197199999999999E-2</v>
      </c>
      <c r="I41">
        <v>3.2432599999999999E-2</v>
      </c>
      <c r="J41">
        <v>6.33658E-2</v>
      </c>
      <c r="K41">
        <v>0.12599299999999999</v>
      </c>
      <c r="L41">
        <v>0.25019000000000002</v>
      </c>
      <c r="M41">
        <v>0.49906899999999998</v>
      </c>
      <c r="N41">
        <v>1.0020100000000001</v>
      </c>
      <c r="O41">
        <v>2.0011000000000001</v>
      </c>
      <c r="P41">
        <v>4.0003000000000002</v>
      </c>
      <c r="Q41">
        <v>1.0248E-3</v>
      </c>
      <c r="R41">
        <v>1.1284000000000001E-3</v>
      </c>
      <c r="S41">
        <v>1.4326E-3</v>
      </c>
      <c r="T41">
        <v>1.9889E-3</v>
      </c>
      <c r="U41">
        <v>3.0571000000000001E-3</v>
      </c>
      <c r="V41">
        <v>5.3949999999999996E-3</v>
      </c>
      <c r="W41">
        <v>9.1850999999999999E-3</v>
      </c>
      <c r="X41">
        <v>1.71328E-2</v>
      </c>
      <c r="Y41">
        <v>3.3299700000000002E-2</v>
      </c>
      <c r="Z41">
        <v>6.5061599999999997E-2</v>
      </c>
      <c r="AA41">
        <v>0.12885099999999999</v>
      </c>
      <c r="AB41">
        <v>0.258185</v>
      </c>
      <c r="AC41">
        <v>0.51475599999999999</v>
      </c>
      <c r="AD41">
        <v>1.0335700000000001</v>
      </c>
      <c r="AE41">
        <v>2.0654599999999999</v>
      </c>
      <c r="AF41">
        <v>4.1282199999999998</v>
      </c>
    </row>
    <row r="42" spans="1:32" x14ac:dyDescent="0.25">
      <c r="A42">
        <v>1.3526E-3</v>
      </c>
      <c r="B42">
        <v>1.531E-3</v>
      </c>
      <c r="C42">
        <v>1.8364E-3</v>
      </c>
      <c r="D42">
        <v>2.4612000000000002E-3</v>
      </c>
      <c r="E42">
        <v>3.3409999999999998E-3</v>
      </c>
      <c r="F42">
        <v>5.2490999999999996E-3</v>
      </c>
      <c r="G42">
        <v>9.3653E-3</v>
      </c>
      <c r="H42">
        <v>1.7298000000000001E-2</v>
      </c>
      <c r="I42">
        <v>3.2616300000000001E-2</v>
      </c>
      <c r="J42">
        <v>6.3488699999999995E-2</v>
      </c>
      <c r="K42">
        <v>0.12626399999999999</v>
      </c>
      <c r="L42">
        <v>0.25018299999999999</v>
      </c>
      <c r="M42">
        <v>0.49926500000000001</v>
      </c>
      <c r="N42">
        <v>1.00204</v>
      </c>
      <c r="O42">
        <v>2.0011000000000001</v>
      </c>
      <c r="P42">
        <v>4.0002599999999999</v>
      </c>
      <c r="Q42">
        <v>1.0349000000000001E-3</v>
      </c>
      <c r="R42">
        <v>1.1176999999999999E-3</v>
      </c>
      <c r="S42">
        <v>1.4746E-3</v>
      </c>
      <c r="T42">
        <v>2.1882999999999998E-3</v>
      </c>
      <c r="U42">
        <v>3.1224999999999998E-3</v>
      </c>
      <c r="V42">
        <v>5.1914999999999999E-3</v>
      </c>
      <c r="W42">
        <v>9.1853000000000004E-3</v>
      </c>
      <c r="X42">
        <v>1.7167100000000001E-2</v>
      </c>
      <c r="Y42">
        <v>3.3346500000000001E-2</v>
      </c>
      <c r="Z42">
        <v>6.4891400000000002E-2</v>
      </c>
      <c r="AA42">
        <v>0.128964</v>
      </c>
      <c r="AB42">
        <v>0.25815500000000002</v>
      </c>
      <c r="AC42">
        <v>0.51493900000000004</v>
      </c>
      <c r="AD42">
        <v>1.0335300000000001</v>
      </c>
      <c r="AE42">
        <v>2.0651299999999999</v>
      </c>
      <c r="AF42">
        <v>4.1280799999999997</v>
      </c>
    </row>
    <row r="43" spans="1:32" x14ac:dyDescent="0.25">
      <c r="A43">
        <v>1.3929999999999999E-3</v>
      </c>
      <c r="B43">
        <v>1.5336E-3</v>
      </c>
      <c r="C43">
        <v>1.7285E-3</v>
      </c>
      <c r="D43">
        <v>2.2902E-3</v>
      </c>
      <c r="E43">
        <v>3.3008999999999998E-3</v>
      </c>
      <c r="F43">
        <v>5.4990000000000004E-3</v>
      </c>
      <c r="G43">
        <v>9.2855000000000004E-3</v>
      </c>
      <c r="H43">
        <v>1.72398E-2</v>
      </c>
      <c r="I43">
        <v>3.2461200000000003E-2</v>
      </c>
      <c r="J43">
        <v>6.3464099999999996E-2</v>
      </c>
      <c r="K43">
        <v>0.126078</v>
      </c>
      <c r="L43">
        <v>0.25008399999999997</v>
      </c>
      <c r="M43">
        <v>0.49915100000000001</v>
      </c>
      <c r="N43">
        <v>1.0018800000000001</v>
      </c>
      <c r="O43">
        <v>2.00122</v>
      </c>
      <c r="P43">
        <v>4.0002199999999997</v>
      </c>
      <c r="Q43">
        <v>1.0244E-3</v>
      </c>
      <c r="R43">
        <v>1.1134999999999999E-3</v>
      </c>
      <c r="S43">
        <v>1.3565000000000001E-3</v>
      </c>
      <c r="T43">
        <v>2.0541999999999999E-3</v>
      </c>
      <c r="U43">
        <v>3.0552999999999999E-3</v>
      </c>
      <c r="V43">
        <v>5.2379000000000002E-3</v>
      </c>
      <c r="W43">
        <v>9.2852000000000004E-3</v>
      </c>
      <c r="X43">
        <v>1.71031E-2</v>
      </c>
      <c r="Y43">
        <v>3.3337400000000003E-2</v>
      </c>
      <c r="Z43">
        <v>6.4992999999999995E-2</v>
      </c>
      <c r="AA43">
        <v>0.128856</v>
      </c>
      <c r="AB43">
        <v>0.258266</v>
      </c>
      <c r="AC43">
        <v>0.51489300000000005</v>
      </c>
      <c r="AD43">
        <v>1.03355</v>
      </c>
      <c r="AE43">
        <v>2.0651600000000001</v>
      </c>
      <c r="AF43">
        <v>4.1281499999999998</v>
      </c>
    </row>
    <row r="44" spans="1:32" x14ac:dyDescent="0.25">
      <c r="A44">
        <v>1.6115999999999999E-3</v>
      </c>
      <c r="B44">
        <v>1.7382999999999999E-3</v>
      </c>
      <c r="C44">
        <v>1.6761E-3</v>
      </c>
      <c r="D44">
        <v>2.4090000000000001E-3</v>
      </c>
      <c r="E44">
        <v>3.2656999999999999E-3</v>
      </c>
      <c r="F44">
        <v>5.5038999999999999E-3</v>
      </c>
      <c r="G44">
        <v>9.3594999999999998E-3</v>
      </c>
      <c r="H44">
        <v>1.7072899999999998E-2</v>
      </c>
      <c r="I44">
        <v>3.2600700000000003E-2</v>
      </c>
      <c r="J44">
        <v>6.3358700000000004E-2</v>
      </c>
      <c r="K44">
        <v>0.12626100000000001</v>
      </c>
      <c r="L44">
        <v>0.24995600000000001</v>
      </c>
      <c r="M44">
        <v>0.499193</v>
      </c>
      <c r="N44">
        <v>1.00193</v>
      </c>
      <c r="O44">
        <v>2.0013200000000002</v>
      </c>
      <c r="P44">
        <v>4.0002800000000001</v>
      </c>
      <c r="Q44">
        <v>9.8240000000000003E-4</v>
      </c>
      <c r="R44">
        <v>1.1777000000000001E-3</v>
      </c>
      <c r="S44">
        <v>1.4541000000000001E-3</v>
      </c>
      <c r="T44">
        <v>2.0435000000000002E-3</v>
      </c>
      <c r="U44">
        <v>3.0669999999999998E-3</v>
      </c>
      <c r="V44">
        <v>5.1070999999999998E-3</v>
      </c>
      <c r="W44">
        <v>9.1842E-3</v>
      </c>
      <c r="X44">
        <v>1.7142899999999999E-2</v>
      </c>
      <c r="Y44">
        <v>3.3259299999999999E-2</v>
      </c>
      <c r="Z44">
        <v>6.5127099999999993E-2</v>
      </c>
      <c r="AA44">
        <v>0.12895999999999999</v>
      </c>
      <c r="AB44">
        <v>0.25826300000000002</v>
      </c>
      <c r="AC44">
        <v>0.51477499999999998</v>
      </c>
      <c r="AD44">
        <v>1.0335099999999999</v>
      </c>
      <c r="AE44">
        <v>2.0653899999999998</v>
      </c>
      <c r="AF44">
        <v>4.1284299999999998</v>
      </c>
    </row>
    <row r="45" spans="1:32" x14ac:dyDescent="0.25">
      <c r="A45">
        <v>1.743E-3</v>
      </c>
      <c r="B45">
        <v>1.6029E-3</v>
      </c>
      <c r="C45">
        <v>1.7394999999999999E-3</v>
      </c>
      <c r="D45">
        <v>2.5249000000000001E-3</v>
      </c>
      <c r="E45">
        <v>3.3484000000000001E-3</v>
      </c>
      <c r="F45">
        <v>5.6858999999999998E-3</v>
      </c>
      <c r="G45">
        <v>9.2268999999999997E-3</v>
      </c>
      <c r="H45">
        <v>1.71702E-2</v>
      </c>
      <c r="I45">
        <v>3.2504199999999997E-2</v>
      </c>
      <c r="J45">
        <v>6.3412499999999997E-2</v>
      </c>
      <c r="K45">
        <v>0.126028</v>
      </c>
      <c r="L45">
        <v>0.250191</v>
      </c>
      <c r="M45">
        <v>0.499168</v>
      </c>
      <c r="N45">
        <v>1.0021</v>
      </c>
      <c r="O45">
        <v>2.0011999999999999</v>
      </c>
      <c r="P45">
        <v>4.0004099999999996</v>
      </c>
      <c r="Q45">
        <v>1.1616E-3</v>
      </c>
      <c r="R45">
        <v>1.3125000000000001E-3</v>
      </c>
      <c r="S45">
        <v>1.4147999999999999E-3</v>
      </c>
      <c r="T45">
        <v>2.0706000000000001E-3</v>
      </c>
      <c r="U45">
        <v>3.0030999999999999E-3</v>
      </c>
      <c r="V45">
        <v>5.3061999999999996E-3</v>
      </c>
      <c r="W45">
        <v>9.1164000000000002E-3</v>
      </c>
      <c r="X45">
        <v>1.7459100000000002E-2</v>
      </c>
      <c r="Y45">
        <v>3.3210700000000003E-2</v>
      </c>
      <c r="Z45">
        <v>6.4975900000000003E-2</v>
      </c>
      <c r="AA45">
        <v>0.12883800000000001</v>
      </c>
      <c r="AB45">
        <v>0.25810699999999998</v>
      </c>
      <c r="AC45">
        <v>0.51480199999999998</v>
      </c>
      <c r="AD45">
        <v>1.03335</v>
      </c>
      <c r="AE45">
        <v>2.0657000000000001</v>
      </c>
      <c r="AF45">
        <v>4.1285299999999996</v>
      </c>
    </row>
    <row r="46" spans="1:32" x14ac:dyDescent="0.25">
      <c r="A46">
        <v>1.3752E-3</v>
      </c>
      <c r="B46">
        <v>1.4603999999999999E-3</v>
      </c>
      <c r="C46">
        <v>1.6275E-3</v>
      </c>
      <c r="D46">
        <v>2.4077E-3</v>
      </c>
      <c r="E46">
        <v>3.3229000000000002E-3</v>
      </c>
      <c r="F46">
        <v>5.5472000000000004E-3</v>
      </c>
      <c r="G46">
        <v>9.2738000000000004E-3</v>
      </c>
      <c r="H46">
        <v>1.7018800000000001E-2</v>
      </c>
      <c r="I46">
        <v>3.2408699999999999E-2</v>
      </c>
      <c r="J46">
        <v>6.3551899999999995E-2</v>
      </c>
      <c r="K46">
        <v>0.126002</v>
      </c>
      <c r="L46">
        <v>0.25013400000000002</v>
      </c>
      <c r="M46">
        <v>0.49929099999999998</v>
      </c>
      <c r="N46">
        <v>1.0019199999999999</v>
      </c>
      <c r="O46">
        <v>2.0011999999999999</v>
      </c>
      <c r="P46">
        <v>4.0001800000000003</v>
      </c>
      <c r="Q46">
        <v>1.1707E-3</v>
      </c>
      <c r="R46">
        <v>1.3622E-3</v>
      </c>
      <c r="S46">
        <v>1.513E-3</v>
      </c>
      <c r="T46">
        <v>2.0750999999999999E-3</v>
      </c>
      <c r="U46">
        <v>2.9497E-3</v>
      </c>
      <c r="V46">
        <v>5.1449E-3</v>
      </c>
      <c r="W46">
        <v>9.1947000000000001E-3</v>
      </c>
      <c r="X46">
        <v>1.7225299999999999E-2</v>
      </c>
      <c r="Y46">
        <v>3.3110399999999998E-2</v>
      </c>
      <c r="Z46">
        <v>6.4969100000000002E-2</v>
      </c>
      <c r="AA46">
        <v>0.128969</v>
      </c>
      <c r="AB46">
        <v>0.25822699999999998</v>
      </c>
      <c r="AC46">
        <v>0.514795</v>
      </c>
      <c r="AD46">
        <v>1.0333600000000001</v>
      </c>
      <c r="AE46">
        <v>2.06521</v>
      </c>
      <c r="AF46">
        <v>4.12873</v>
      </c>
    </row>
    <row r="47" spans="1:32" x14ac:dyDescent="0.25">
      <c r="A47">
        <v>1.5464000000000001E-3</v>
      </c>
      <c r="B47">
        <v>1.6339E-3</v>
      </c>
      <c r="C47">
        <v>1.6207000000000001E-3</v>
      </c>
      <c r="D47">
        <v>2.3490999999999998E-3</v>
      </c>
      <c r="E47">
        <v>3.2804000000000002E-3</v>
      </c>
      <c r="F47">
        <v>5.6265000000000004E-3</v>
      </c>
      <c r="G47">
        <v>9.3702999999999998E-3</v>
      </c>
      <c r="H47">
        <v>1.7179799999999999E-2</v>
      </c>
      <c r="I47">
        <v>3.2509400000000001E-2</v>
      </c>
      <c r="J47">
        <v>6.3384899999999994E-2</v>
      </c>
      <c r="K47">
        <v>0.126059</v>
      </c>
      <c r="L47">
        <v>0.25019599999999997</v>
      </c>
      <c r="M47">
        <v>0.49927100000000002</v>
      </c>
      <c r="N47">
        <v>1.00179</v>
      </c>
      <c r="O47">
        <v>2.0013999999999998</v>
      </c>
      <c r="P47">
        <v>3.9999899999999999</v>
      </c>
      <c r="Q47">
        <v>1.1972E-3</v>
      </c>
      <c r="R47">
        <v>1.3063E-3</v>
      </c>
      <c r="S47">
        <v>1.4545000000000001E-3</v>
      </c>
      <c r="T47">
        <v>2.0162999999999999E-3</v>
      </c>
      <c r="U47">
        <v>3.0431999999999998E-3</v>
      </c>
      <c r="V47">
        <v>5.1380000000000002E-3</v>
      </c>
      <c r="W47">
        <v>9.2437999999999999E-3</v>
      </c>
      <c r="X47">
        <v>1.7390200000000001E-2</v>
      </c>
      <c r="Y47">
        <v>3.3133500000000003E-2</v>
      </c>
      <c r="Z47">
        <v>6.5045199999999997E-2</v>
      </c>
      <c r="AA47">
        <v>0.128967</v>
      </c>
      <c r="AB47">
        <v>0.25822000000000001</v>
      </c>
      <c r="AC47">
        <v>0.51476100000000002</v>
      </c>
      <c r="AD47">
        <v>1.03363</v>
      </c>
      <c r="AE47">
        <v>2.06528</v>
      </c>
      <c r="AF47">
        <v>4.1286100000000001</v>
      </c>
    </row>
    <row r="48" spans="1:32" x14ac:dyDescent="0.25">
      <c r="A48">
        <v>1.6294E-3</v>
      </c>
      <c r="B48">
        <v>1.5218E-3</v>
      </c>
      <c r="C48">
        <v>1.7631999999999999E-3</v>
      </c>
      <c r="D48">
        <v>2.0444E-3</v>
      </c>
      <c r="E48">
        <v>3.2940000000000001E-3</v>
      </c>
      <c r="F48">
        <v>5.2899000000000002E-3</v>
      </c>
      <c r="G48">
        <v>9.3606999999999996E-3</v>
      </c>
      <c r="H48">
        <v>1.7093899999999999E-2</v>
      </c>
      <c r="I48">
        <v>3.2639399999999999E-2</v>
      </c>
      <c r="J48">
        <v>6.3442200000000004E-2</v>
      </c>
      <c r="K48">
        <v>0.12606600000000001</v>
      </c>
      <c r="L48">
        <v>0.25012400000000001</v>
      </c>
      <c r="M48">
        <v>0.49922699999999998</v>
      </c>
      <c r="N48">
        <v>1.0017199999999999</v>
      </c>
      <c r="O48">
        <v>2.00115</v>
      </c>
      <c r="P48">
        <v>3.9999500000000001</v>
      </c>
      <c r="Q48">
        <v>1.1119000000000001E-3</v>
      </c>
      <c r="R48">
        <v>1.23E-3</v>
      </c>
      <c r="S48">
        <v>1.4625E-3</v>
      </c>
      <c r="T48">
        <v>2.0441000000000001E-3</v>
      </c>
      <c r="U48">
        <v>3.0812000000000001E-3</v>
      </c>
      <c r="V48">
        <v>5.2394E-3</v>
      </c>
      <c r="W48">
        <v>9.3269000000000008E-3</v>
      </c>
      <c r="X48">
        <v>1.72584E-2</v>
      </c>
      <c r="Y48">
        <v>3.31872E-2</v>
      </c>
      <c r="Z48">
        <v>6.5004199999999998E-2</v>
      </c>
      <c r="AA48">
        <v>0.128909</v>
      </c>
      <c r="AB48">
        <v>0.25817800000000002</v>
      </c>
      <c r="AC48">
        <v>0.51490199999999997</v>
      </c>
      <c r="AD48">
        <v>1.0335799999999999</v>
      </c>
      <c r="AE48">
        <v>2.0655600000000001</v>
      </c>
      <c r="AF48">
        <v>4.1287099999999999</v>
      </c>
    </row>
    <row r="49" spans="1:32" x14ac:dyDescent="0.25">
      <c r="A49">
        <v>1.8361E-3</v>
      </c>
      <c r="B49">
        <v>1.4727E-3</v>
      </c>
      <c r="C49">
        <v>2.1499000000000002E-3</v>
      </c>
      <c r="D49">
        <v>2.0206999999999998E-3</v>
      </c>
      <c r="E49">
        <v>3.2707999999999999E-3</v>
      </c>
      <c r="F49">
        <v>5.4501999999999997E-3</v>
      </c>
      <c r="G49">
        <v>9.2347000000000002E-3</v>
      </c>
      <c r="H49">
        <v>1.7154099999999999E-2</v>
      </c>
      <c r="I49">
        <v>3.2704900000000002E-2</v>
      </c>
      <c r="J49">
        <v>6.38354E-2</v>
      </c>
      <c r="K49">
        <v>0.12612000000000001</v>
      </c>
      <c r="L49">
        <v>0.25009799999999999</v>
      </c>
      <c r="M49">
        <v>0.49935299999999999</v>
      </c>
      <c r="N49">
        <v>1.00177</v>
      </c>
      <c r="O49">
        <v>2.0012300000000001</v>
      </c>
      <c r="P49">
        <v>4.00007</v>
      </c>
      <c r="Q49">
        <v>9.5060000000000001E-4</v>
      </c>
      <c r="R49">
        <v>1.3247999999999999E-3</v>
      </c>
      <c r="S49">
        <v>1.7492E-3</v>
      </c>
      <c r="T49">
        <v>1.9686999999999999E-3</v>
      </c>
      <c r="U49">
        <v>3.0216000000000002E-3</v>
      </c>
      <c r="V49">
        <v>5.1463999999999998E-3</v>
      </c>
      <c r="W49">
        <v>9.2333999999999992E-3</v>
      </c>
      <c r="X49">
        <v>1.7183199999999999E-2</v>
      </c>
      <c r="Y49">
        <v>3.3200199999999999E-2</v>
      </c>
      <c r="Z49">
        <v>6.5051999999999999E-2</v>
      </c>
      <c r="AA49">
        <v>0.128909</v>
      </c>
      <c r="AB49">
        <v>0.25805</v>
      </c>
      <c r="AC49">
        <v>0.51482000000000006</v>
      </c>
      <c r="AD49">
        <v>1.03359</v>
      </c>
      <c r="AE49">
        <v>2.0656500000000002</v>
      </c>
      <c r="AF49">
        <v>4.1288200000000002</v>
      </c>
    </row>
    <row r="50" spans="1:32" x14ac:dyDescent="0.25">
      <c r="A50">
        <v>1.9605E-3</v>
      </c>
      <c r="B50">
        <v>1.688E-3</v>
      </c>
      <c r="C50">
        <v>2.0417999999999999E-3</v>
      </c>
      <c r="D50">
        <v>2.0563999999999999E-3</v>
      </c>
      <c r="E50">
        <v>3.2556E-3</v>
      </c>
      <c r="F50">
        <v>5.3612E-3</v>
      </c>
      <c r="G50">
        <v>9.2846000000000005E-3</v>
      </c>
      <c r="H50">
        <v>1.6949800000000001E-2</v>
      </c>
      <c r="I50">
        <v>3.2534399999999998E-2</v>
      </c>
      <c r="J50">
        <v>6.3632099999999997E-2</v>
      </c>
      <c r="K50">
        <v>0.12587300000000001</v>
      </c>
      <c r="L50">
        <v>0.25013299999999999</v>
      </c>
      <c r="M50">
        <v>0.49939</v>
      </c>
      <c r="N50">
        <v>1.0018499999999999</v>
      </c>
      <c r="O50">
        <v>2.0011899999999998</v>
      </c>
      <c r="P50">
        <v>4.0001600000000002</v>
      </c>
      <c r="Q50">
        <v>1.1256E-3</v>
      </c>
      <c r="R50">
        <v>1.2344000000000001E-3</v>
      </c>
      <c r="S50">
        <v>1.5846E-3</v>
      </c>
      <c r="T50">
        <v>1.91E-3</v>
      </c>
      <c r="U50">
        <v>3.0136999999999998E-3</v>
      </c>
      <c r="V50">
        <v>5.1155999999999997E-3</v>
      </c>
      <c r="W50">
        <v>9.3168000000000001E-3</v>
      </c>
      <c r="X50">
        <v>1.71854E-2</v>
      </c>
      <c r="Y50">
        <v>3.3094600000000002E-2</v>
      </c>
      <c r="Z50">
        <v>6.5080299999999994E-2</v>
      </c>
      <c r="AA50">
        <v>0.12890299999999999</v>
      </c>
      <c r="AB50">
        <v>0.25821699999999997</v>
      </c>
      <c r="AC50">
        <v>0.51472099999999998</v>
      </c>
      <c r="AD50">
        <v>1.03348</v>
      </c>
      <c r="AE50">
        <v>2.06541</v>
      </c>
      <c r="AF50">
        <v>4.1288299999999998</v>
      </c>
    </row>
    <row r="51" spans="1:32" x14ac:dyDescent="0.25">
      <c r="A51">
        <v>1.7415E-3</v>
      </c>
      <c r="B51">
        <v>1.5319000000000001E-3</v>
      </c>
      <c r="C51">
        <v>1.8653000000000001E-3</v>
      </c>
      <c r="D51">
        <v>2.0509E-3</v>
      </c>
      <c r="E51">
        <v>3.3078999999999999E-3</v>
      </c>
      <c r="F51">
        <v>5.2217000000000001E-3</v>
      </c>
      <c r="G51">
        <v>9.1199999999999996E-3</v>
      </c>
      <c r="H51">
        <v>1.7170299999999999E-2</v>
      </c>
      <c r="I51">
        <v>3.23933E-2</v>
      </c>
      <c r="J51">
        <v>6.3371300000000005E-2</v>
      </c>
      <c r="K51">
        <v>0.12608900000000001</v>
      </c>
      <c r="L51">
        <v>0.25018600000000002</v>
      </c>
      <c r="M51">
        <v>0.49917499999999998</v>
      </c>
      <c r="N51">
        <v>1.00187</v>
      </c>
      <c r="O51">
        <v>2.0014799999999999</v>
      </c>
      <c r="P51">
        <v>4.0001899999999999</v>
      </c>
      <c r="Q51">
        <v>1.1378E-3</v>
      </c>
      <c r="R51">
        <v>1.1895E-3</v>
      </c>
      <c r="S51">
        <v>1.6041E-3</v>
      </c>
      <c r="T51">
        <v>2.0869E-3</v>
      </c>
      <c r="U51">
        <v>3.1430999999999998E-3</v>
      </c>
      <c r="V51">
        <v>5.1573000000000001E-3</v>
      </c>
      <c r="W51">
        <v>9.2175E-3</v>
      </c>
      <c r="X51">
        <v>1.71491E-2</v>
      </c>
      <c r="Y51">
        <v>3.3140000000000003E-2</v>
      </c>
      <c r="Z51">
        <v>6.5031900000000004E-2</v>
      </c>
      <c r="AA51">
        <v>0.128997</v>
      </c>
      <c r="AB51">
        <v>0.25813000000000003</v>
      </c>
      <c r="AC51">
        <v>0.51475199999999999</v>
      </c>
      <c r="AD51">
        <v>1.0334000000000001</v>
      </c>
      <c r="AE51">
        <v>2.0650599999999999</v>
      </c>
      <c r="AF51">
        <v>4.1285999999999996</v>
      </c>
    </row>
    <row r="52" spans="1:32" x14ac:dyDescent="0.25">
      <c r="A52">
        <f>AVERAGE(x__6[minMaxPar_50_15.txt])</f>
        <v>1.431112E-3</v>
      </c>
      <c r="B52">
        <f>AVERAGE(x__6[minMaxPar_50_16.txt])</f>
        <v>1.5614359999999994E-3</v>
      </c>
      <c r="C52">
        <f>AVERAGE(x__6[minMaxPar_50_17.txt])</f>
        <v>1.8619819999999999E-3</v>
      </c>
      <c r="D52">
        <f>AVERAGE(x__6[minMaxPar_50_18.txt])</f>
        <v>2.4487620000000006E-3</v>
      </c>
      <c r="E52">
        <f>AVERAGE(x__6[minMaxPar_50_19.txt])</f>
        <v>3.3460339999999995E-3</v>
      </c>
      <c r="F52">
        <f>AVERAGE(x__6[minMaxPar_50_20.txt])</f>
        <v>5.3935560000000016E-3</v>
      </c>
      <c r="G52">
        <f>AVERAGE(x__6[minMaxPar_50_21.txt])</f>
        <v>9.4327439999999999E-3</v>
      </c>
      <c r="H52">
        <f>AVERAGE(x__6[minMaxPar_50_22.txt])</f>
        <v>1.7150445999999993E-2</v>
      </c>
      <c r="I52">
        <f>AVERAGE(x__6[minMaxPar_50_23.txt])</f>
        <v>3.2530717999999993E-2</v>
      </c>
      <c r="J52">
        <f>AVERAGE(x__6[minMaxPar_50_24.txt])</f>
        <v>6.3643273999999986E-2</v>
      </c>
      <c r="K52">
        <f>AVERAGE(x__6[minMaxPar_50_25.txt])</f>
        <v>0.12583144000000002</v>
      </c>
      <c r="L52">
        <f>AVERAGE(x__6[minMaxPar_50_26.txt])</f>
        <v>0.25017845999999994</v>
      </c>
      <c r="M52">
        <f>AVERAGE(x__6[minMaxPar_50_27.txt])</f>
        <v>0.49924224000000011</v>
      </c>
      <c r="N52">
        <f>AVERAGE(x__6[minMaxPar_50_28.txt])</f>
        <v>0.99979777999999964</v>
      </c>
      <c r="O52">
        <f>AVERAGE(x__6[minMaxPar_50_29.txt])</f>
        <v>2.0011431999999996</v>
      </c>
      <c r="P52">
        <f>AVERAGE(x__6[minMaxPar_50_30.txt])</f>
        <v>4.0004062000000005</v>
      </c>
      <c r="Q52">
        <f>AVERAGE(x__6[montePar_50_15.txt])</f>
        <v>1.2467120000000003E-3</v>
      </c>
      <c r="R52">
        <f>AVERAGE(x__6[montePar_50_16.txt])</f>
        <v>1.2283320000000002E-3</v>
      </c>
      <c r="S52">
        <f>AVERAGE(x__6[montePar_50_17.txt])</f>
        <v>1.6384300000000004E-3</v>
      </c>
      <c r="T52">
        <f>AVERAGE(x__6[montePar_50_18.txt])</f>
        <v>2.0628660000000009E-3</v>
      </c>
      <c r="U52">
        <f>AVERAGE(x__6[montePar_50_19.txt])</f>
        <v>3.1136380000000006E-3</v>
      </c>
      <c r="V52">
        <f>AVERAGE(x__6[montePar_50_20.txt])</f>
        <v>5.1637900000000006E-3</v>
      </c>
      <c r="W52">
        <f>AVERAGE(x__6[montePar_50_21.txt])</f>
        <v>9.1751639999999995E-3</v>
      </c>
      <c r="X52">
        <f>AVERAGE(x__6[montePar_50_22.txt])</f>
        <v>1.7248427999999996E-2</v>
      </c>
      <c r="Y52">
        <f>AVERAGE(x__6[montePar_50_23.txt])</f>
        <v>3.3235205999999996E-2</v>
      </c>
      <c r="Z52">
        <f>AVERAGE(x__6[montePar_50_24.txt])</f>
        <v>6.506189200000001E-2</v>
      </c>
      <c r="AA52">
        <f>AVERAGE(x__6[montePar_50_25.txt])</f>
        <v>0.12891376000000002</v>
      </c>
      <c r="AB52">
        <f>AVERAGE(x__6[montePar_50_26.txt])</f>
        <v>0.25797552000000001</v>
      </c>
      <c r="AC52">
        <f>AVERAGE(x__6[montePar_50_27.txt])</f>
        <v>0.51482478000000009</v>
      </c>
      <c r="AD52">
        <f>AVERAGE(x__6[montePar_50_28.txt])</f>
        <v>1.0335284</v>
      </c>
      <c r="AE52">
        <f>AVERAGE(x__6[montePar_50_29.txt])</f>
        <v>2.0653464000000001</v>
      </c>
      <c r="AF52">
        <f>AVERAGE(x__6[montePar_50_30.txt])</f>
        <v>4.1285478000000007</v>
      </c>
    </row>
    <row r="53" spans="1:32" x14ac:dyDescent="0.25">
      <c r="A53">
        <f>STDEVPA(x__6[minMaxPar_50_15.txt])</f>
        <v>1.8591023601727797E-4</v>
      </c>
      <c r="B53">
        <f>STDEVPA(x__6[minMaxPar_50_16.txt])</f>
        <v>1.6693027976972903E-4</v>
      </c>
      <c r="C53">
        <f>STDEVPA(x__6[minMaxPar_50_17.txt])</f>
        <v>3.269150768563603E-4</v>
      </c>
      <c r="D53">
        <f>STDEVPA(x__6[minMaxPar_50_18.txt])</f>
        <v>1.960495058805301E-4</v>
      </c>
      <c r="E53">
        <f>STDEVPA(x__6[minMaxPar_50_19.txt])</f>
        <v>9.5202782753446832E-5</v>
      </c>
      <c r="F53">
        <f>STDEVPA(x__6[minMaxPar_50_20.txt])</f>
        <v>1.1602827613991345E-4</v>
      </c>
      <c r="G53">
        <f>STDEVPA(x__6[minMaxPar_50_21.txt])</f>
        <v>9.8518898576059979E-4</v>
      </c>
      <c r="H53">
        <f>STDEVPA(x__6[minMaxPar_50_22.txt])</f>
        <v>1.6860561581394601E-4</v>
      </c>
      <c r="I53">
        <f>STDEVPA(x__6[minMaxPar_50_23.txt])</f>
        <v>9.994647705647254E-5</v>
      </c>
      <c r="J53">
        <f>STDEVPA(x__6[minMaxPar_50_24.txt])</f>
        <v>7.1725251391961003E-4</v>
      </c>
      <c r="K53">
        <f>STDEVPA(x__6[minMaxPar_50_25.txt])</f>
        <v>3.2873802092243541E-4</v>
      </c>
      <c r="L53">
        <f>STDEVPA(x__6[minMaxPar_50_26.txt])</f>
        <v>1.2183451235179849E-4</v>
      </c>
      <c r="M53">
        <f>STDEVPA(x__6[minMaxPar_50_27.txt])</f>
        <v>1.068049736669592E-4</v>
      </c>
      <c r="N53">
        <f>STDEVPA(x__6[minMaxPar_50_28.txt])</f>
        <v>2.6680817850283354E-3</v>
      </c>
      <c r="O53">
        <f>STDEVPA(x__6[minMaxPar_50_29.txt])</f>
        <v>2.3629168415329176E-4</v>
      </c>
      <c r="P53">
        <f>STDEVPA(x__6[minMaxPar_50_30.txt])</f>
        <v>3.6294842608833468E-4</v>
      </c>
      <c r="Q53">
        <f>STDEVPA(x__6[montePar_50_15.txt])</f>
        <v>7.3791562976806507E-4</v>
      </c>
      <c r="R53">
        <f>STDEVPA(x__6[montePar_50_16.txt])</f>
        <v>1.2581111308624529E-4</v>
      </c>
      <c r="S53">
        <f>STDEVPA(x__6[montePar_50_17.txt])</f>
        <v>2.2860980665754478E-4</v>
      </c>
      <c r="T53">
        <f>STDEVPA(x__6[montePar_50_18.txt])</f>
        <v>8.9613464635622685E-5</v>
      </c>
      <c r="U53">
        <f>STDEVPA(x__6[montePar_50_19.txt])</f>
        <v>1.077695799193817E-4</v>
      </c>
      <c r="V53">
        <f>STDEVPA(x__6[montePar_50_20.txt])</f>
        <v>8.4161654570237608E-5</v>
      </c>
      <c r="W53">
        <f>STDEVPA(x__6[montePar_50_21.txt])</f>
        <v>1.1902317045012701E-4</v>
      </c>
      <c r="X53">
        <f>STDEVPA(x__6[montePar_50_22.txt])</f>
        <v>1.323277598087417E-4</v>
      </c>
      <c r="Y53">
        <f>STDEVPA(x__6[montePar_50_23.txt])</f>
        <v>1.2537998629765434E-4</v>
      </c>
      <c r="Z53">
        <f>STDEVPA(x__6[montePar_50_24.txt])</f>
        <v>6.8402990694851188E-5</v>
      </c>
      <c r="AA53">
        <f>STDEVPA(x__6[montePar_50_25.txt])</f>
        <v>8.0314023682042984E-5</v>
      </c>
      <c r="AB53">
        <f>STDEVPA(x__6[montePar_50_26.txt])</f>
        <v>2.0669951523890861E-4</v>
      </c>
      <c r="AC53">
        <f>STDEVPA(x__6[montePar_50_27.txt])</f>
        <v>6.5530539445371989E-5</v>
      </c>
      <c r="AD53">
        <f>STDEVPA(x__6[montePar_50_28.txt])</f>
        <v>1.2318051794014427E-4</v>
      </c>
      <c r="AE53">
        <f>STDEVPA(x__6[montePar_50_29.txt])</f>
        <v>1.3972487251740553E-4</v>
      </c>
      <c r="AF53">
        <f>STDEVPA(x__6[montePar_50_30.txt])</f>
        <v>2.6522662008184115E-4</v>
      </c>
    </row>
    <row r="54" spans="1:32" x14ac:dyDescent="0.25">
      <c r="A54" s="1">
        <f>A53/x__6[[#Totals],[minMaxPar_50_15.txt]]</f>
        <v>0.12990614013248297</v>
      </c>
      <c r="B54" s="1">
        <f>B53/x__6[[#Totals],[minMaxPar_50_16.txt]]</f>
        <v>0.10690817924636623</v>
      </c>
      <c r="C54" s="1">
        <f>C53/x__6[[#Totals],[minMaxPar_50_17.txt]]</f>
        <v>0.17557370417993318</v>
      </c>
      <c r="D54" s="1">
        <f>D53/x__6[[#Totals],[minMaxPar_50_18.txt]]</f>
        <v>8.0060661624335089E-2</v>
      </c>
      <c r="E54" s="1">
        <f>E53/x__6[[#Totals],[minMaxPar_50_19.txt]]</f>
        <v>2.8452425394794808E-2</v>
      </c>
      <c r="F54" s="1">
        <f>F53/x__6[[#Totals],[minMaxPar_50_20.txt]]</f>
        <v>2.1512389254865143E-2</v>
      </c>
      <c r="G54" s="1">
        <f>G53/x__6[[#Totals],[minMaxPar_50_21.txt]]</f>
        <v>0.10444351990901055</v>
      </c>
      <c r="H54" s="1">
        <f>H53/x__6[[#Totals],[minMaxPar_50_22.txt]]</f>
        <v>9.8309755801071347E-3</v>
      </c>
      <c r="I54" s="1">
        <f>I53/x__6[[#Totals],[minMaxPar_50_23.txt]]</f>
        <v>3.0723723053537448E-3</v>
      </c>
      <c r="J54" s="1">
        <f>J53/x__6[[#Totals],[minMaxPar_50_24.txt]]</f>
        <v>1.1269887119880259E-2</v>
      </c>
      <c r="K54" s="1">
        <f>K53/x__6[[#Totals],[minMaxPar_50_25.txt]]</f>
        <v>2.6125268925034583E-3</v>
      </c>
      <c r="L54" s="1">
        <f>L53/x__6[[#Totals],[minMaxPar_50_26.txt]]</f>
        <v>4.8699041616851634E-4</v>
      </c>
      <c r="M54" s="1">
        <f>M53/x__6[[#Totals],[minMaxPar_50_27.txt]]</f>
        <v>2.1393416884548706E-4</v>
      </c>
      <c r="N54" s="1">
        <f>N53/x__6[[#Totals],[minMaxPar_50_28.txt]]</f>
        <v>2.6686214336546499E-3</v>
      </c>
      <c r="O54" s="1">
        <f>O53/x__6[[#Totals],[minMaxPar_50_29.txt]]</f>
        <v>1.180783484926475E-4</v>
      </c>
      <c r="P54" s="1">
        <f>P53/x__6[[#Totals],[minMaxPar_50_30.txt]]</f>
        <v>9.0727893104538892E-5</v>
      </c>
      <c r="Q54" s="1">
        <f>Q53/x__6[[#Totals],[montePar_50_15.txt]]</f>
        <v>0.5918894097177736</v>
      </c>
      <c r="R54" s="1">
        <f>R53/x__6[[#Totals],[montePar_50_16.txt]]</f>
        <v>0.10242435521198281</v>
      </c>
      <c r="S54" s="1">
        <f>S53/x__6[[#Totals],[montePar_50_17.txt]]</f>
        <v>0.13952979782935171</v>
      </c>
      <c r="T54" s="1">
        <f>T53/x__6[[#Totals],[montePar_50_18.txt]]</f>
        <v>4.3441243704449364E-2</v>
      </c>
      <c r="U54" s="1">
        <f>U53/x__6[[#Totals],[montePar_50_19.txt]]</f>
        <v>3.4612109667013856E-2</v>
      </c>
      <c r="V54" s="1">
        <f>V53/x__6[[#Totals],[montePar_50_20.txt]]</f>
        <v>1.6298427041037223E-2</v>
      </c>
      <c r="W54" s="1">
        <f>W53/x__6[[#Totals],[montePar_50_21.txt]]</f>
        <v>1.2972320761800772E-2</v>
      </c>
      <c r="X54" s="1">
        <f>X53/x__6[[#Totals],[montePar_50_22.txt]]</f>
        <v>7.6718736228450343E-3</v>
      </c>
      <c r="Y54" s="1">
        <f>Y53/x__6[[#Totals],[montePar_50_23.txt]]</f>
        <v>3.7725051650847104E-3</v>
      </c>
      <c r="Z54" s="1">
        <f>Z53/x__6[[#Totals],[montePar_50_24.txt]]</f>
        <v>1.0513526212064534E-3</v>
      </c>
      <c r="AA54" s="1">
        <f>AA53/x__6[[#Totals],[montePar_50_25.txt]]</f>
        <v>6.2300582716727038E-4</v>
      </c>
      <c r="AB54" s="1">
        <f>AB53/x__6[[#Totals],[montePar_50_26.txt]]</f>
        <v>8.0123693612056137E-4</v>
      </c>
      <c r="AC54" s="1">
        <f>AC53/x__6[[#Totals],[montePar_50_27.txt]]</f>
        <v>1.272870731773478E-4</v>
      </c>
      <c r="AD54" s="1">
        <f>AD53/x__6[[#Totals],[montePar_50_28.txt]]</f>
        <v>1.1918445389613317E-4</v>
      </c>
      <c r="AE54" s="1">
        <f>AE53/x__6[[#Totals],[montePar_50_29.txt]]</f>
        <v>6.7652028016900955E-5</v>
      </c>
      <c r="AF54" s="1">
        <f>AF53/x__6[[#Totals],[montePar_50_30.txt]]</f>
        <v>6.4242109557709638E-5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AEF5A-E079-474D-ABCD-301BACEDCF8F}">
  <dimension ref="A1:AF54"/>
  <sheetViews>
    <sheetView topLeftCell="A40" workbookViewId="0">
      <selection activeCell="P52" sqref="A52:P54"/>
    </sheetView>
  </sheetViews>
  <sheetFormatPr defaultRowHeight="15" x14ac:dyDescent="0.25"/>
  <cols>
    <col min="1" max="16" width="22.7109375" bestFit="1" customWidth="1"/>
    <col min="17" max="32" width="21.28515625" bestFit="1" customWidth="1"/>
  </cols>
  <sheetData>
    <row r="1" spans="1:3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</row>
    <row r="2" spans="1:32" x14ac:dyDescent="0.25">
      <c r="A2">
        <v>1.7542E-3</v>
      </c>
      <c r="B2">
        <v>1.7468E-3</v>
      </c>
      <c r="C2">
        <v>1.761E-3</v>
      </c>
      <c r="D2">
        <v>1.9112000000000001E-3</v>
      </c>
      <c r="E2">
        <v>2.0522000000000001E-3</v>
      </c>
      <c r="F2">
        <v>2.1380000000000001E-3</v>
      </c>
      <c r="G2">
        <v>2.6844E-3</v>
      </c>
      <c r="H2">
        <v>3.8801E-3</v>
      </c>
      <c r="I2">
        <v>5.9329999999999999E-3</v>
      </c>
      <c r="J2">
        <v>1.01818E-2</v>
      </c>
      <c r="K2">
        <v>1.8541999999999999E-2</v>
      </c>
      <c r="L2">
        <v>3.5220899999999999E-2</v>
      </c>
      <c r="M2">
        <v>6.9193699999999997E-2</v>
      </c>
      <c r="N2">
        <v>0.13623099999999999</v>
      </c>
      <c r="O2">
        <v>0.272345</v>
      </c>
      <c r="P2">
        <v>0.543655</v>
      </c>
      <c r="Q2">
        <v>6.2217000000000001E-3</v>
      </c>
      <c r="R2">
        <v>1.2535999999999999E-3</v>
      </c>
      <c r="S2">
        <v>1.4040999999999999E-3</v>
      </c>
      <c r="T2">
        <v>1.5238999999999999E-3</v>
      </c>
      <c r="U2">
        <v>1.9132000000000001E-3</v>
      </c>
      <c r="V2">
        <v>2.1304000000000002E-3</v>
      </c>
      <c r="W2">
        <v>3.4072999999999998E-3</v>
      </c>
      <c r="X2">
        <v>4.0176999999999999E-3</v>
      </c>
      <c r="Y2">
        <v>6.6324000000000001E-3</v>
      </c>
      <c r="Z2">
        <v>1.17117E-2</v>
      </c>
      <c r="AA2">
        <v>2.21458E-2</v>
      </c>
      <c r="AB2">
        <v>4.2930700000000002E-2</v>
      </c>
      <c r="AC2">
        <v>8.4803100000000006E-2</v>
      </c>
      <c r="AD2">
        <v>0.16809299999999999</v>
      </c>
      <c r="AE2">
        <v>0.336812</v>
      </c>
      <c r="AF2">
        <v>0.68252400000000002</v>
      </c>
    </row>
    <row r="3" spans="1:32" x14ac:dyDescent="0.25">
      <c r="A3">
        <v>1.5223999999999999E-3</v>
      </c>
      <c r="B3">
        <v>1.4836999999999999E-3</v>
      </c>
      <c r="C3">
        <v>1.3744E-3</v>
      </c>
      <c r="D3">
        <v>1.5671999999999999E-3</v>
      </c>
      <c r="E3">
        <v>1.6058999999999999E-3</v>
      </c>
      <c r="F3">
        <v>1.8962E-3</v>
      </c>
      <c r="G3">
        <v>2.4521E-3</v>
      </c>
      <c r="H3">
        <v>3.7263999999999999E-3</v>
      </c>
      <c r="I3">
        <v>5.7664999999999999E-3</v>
      </c>
      <c r="J3">
        <v>9.9527000000000001E-3</v>
      </c>
      <c r="K3">
        <v>1.87464E-2</v>
      </c>
      <c r="L3">
        <v>3.51997E-2</v>
      </c>
      <c r="M3">
        <v>6.9014500000000006E-2</v>
      </c>
      <c r="N3">
        <v>0.136155</v>
      </c>
      <c r="O3">
        <v>0.27232299999999998</v>
      </c>
      <c r="P3">
        <v>0.54350500000000002</v>
      </c>
      <c r="Q3">
        <v>1.3541E-3</v>
      </c>
      <c r="R3">
        <v>9.8909999999999992E-4</v>
      </c>
      <c r="S3">
        <v>1.1665E-3</v>
      </c>
      <c r="T3">
        <v>1.5478E-3</v>
      </c>
      <c r="U3">
        <v>1.5104999999999999E-3</v>
      </c>
      <c r="V3">
        <v>1.8397999999999999E-3</v>
      </c>
      <c r="W3">
        <v>3.8798999999999999E-3</v>
      </c>
      <c r="X3">
        <v>3.8218000000000002E-3</v>
      </c>
      <c r="Y3">
        <v>6.4676000000000004E-3</v>
      </c>
      <c r="Z3">
        <v>1.17372E-2</v>
      </c>
      <c r="AA3">
        <v>2.2140300000000002E-2</v>
      </c>
      <c r="AB3">
        <v>4.2744699999999997E-2</v>
      </c>
      <c r="AC3">
        <v>8.4699899999999995E-2</v>
      </c>
      <c r="AD3">
        <v>0.167939</v>
      </c>
      <c r="AE3">
        <v>0.33679500000000001</v>
      </c>
      <c r="AF3">
        <v>0.68231900000000001</v>
      </c>
    </row>
    <row r="4" spans="1:32" x14ac:dyDescent="0.25">
      <c r="A4">
        <v>1.4919E-3</v>
      </c>
      <c r="B4">
        <v>1.3785E-3</v>
      </c>
      <c r="C4">
        <v>1.351E-3</v>
      </c>
      <c r="D4">
        <v>1.5227999999999999E-3</v>
      </c>
      <c r="E4">
        <v>1.5567999999999999E-3</v>
      </c>
      <c r="F4">
        <v>1.7145999999999999E-3</v>
      </c>
      <c r="G4">
        <v>2.4063999999999999E-3</v>
      </c>
      <c r="H4">
        <v>4.8877E-3</v>
      </c>
      <c r="I4">
        <v>5.9216E-3</v>
      </c>
      <c r="J4">
        <v>1.00792E-2</v>
      </c>
      <c r="K4">
        <v>1.82901E-2</v>
      </c>
      <c r="L4">
        <v>3.51191E-2</v>
      </c>
      <c r="M4">
        <v>6.9030999999999995E-2</v>
      </c>
      <c r="N4">
        <v>0.13627900000000001</v>
      </c>
      <c r="O4">
        <v>0.27227699999999999</v>
      </c>
      <c r="P4">
        <v>0.544103</v>
      </c>
      <c r="Q4">
        <v>1.1061000000000001E-3</v>
      </c>
      <c r="R4">
        <v>1.0811E-3</v>
      </c>
      <c r="S4">
        <v>1.1121E-3</v>
      </c>
      <c r="T4">
        <v>1.4208999999999999E-3</v>
      </c>
      <c r="U4">
        <v>1.4086999999999999E-3</v>
      </c>
      <c r="V4">
        <v>1.8217000000000001E-3</v>
      </c>
      <c r="W4">
        <v>2.5428E-3</v>
      </c>
      <c r="X4">
        <v>3.6949000000000001E-3</v>
      </c>
      <c r="Y4">
        <v>6.4321999999999999E-3</v>
      </c>
      <c r="Z4">
        <v>1.16703E-2</v>
      </c>
      <c r="AA4">
        <v>2.2160900000000001E-2</v>
      </c>
      <c r="AB4">
        <v>4.2861200000000002E-2</v>
      </c>
      <c r="AC4">
        <v>8.4658600000000001E-2</v>
      </c>
      <c r="AD4">
        <v>0.16783500000000001</v>
      </c>
      <c r="AE4">
        <v>0.33687800000000001</v>
      </c>
      <c r="AF4">
        <v>0.68236200000000002</v>
      </c>
    </row>
    <row r="5" spans="1:32" x14ac:dyDescent="0.25">
      <c r="A5">
        <v>1.2909E-3</v>
      </c>
      <c r="B5">
        <v>1.6168000000000001E-3</v>
      </c>
      <c r="C5">
        <v>1.3253E-3</v>
      </c>
      <c r="D5">
        <v>1.5161E-3</v>
      </c>
      <c r="E5">
        <v>1.727E-3</v>
      </c>
      <c r="F5">
        <v>1.6829E-3</v>
      </c>
      <c r="G5">
        <v>2.3031000000000002E-3</v>
      </c>
      <c r="H5">
        <v>3.7401999999999999E-3</v>
      </c>
      <c r="I5">
        <v>5.7356999999999998E-3</v>
      </c>
      <c r="J5">
        <v>9.8589999999999997E-3</v>
      </c>
      <c r="K5">
        <v>1.84222E-2</v>
      </c>
      <c r="L5">
        <v>3.5121399999999997E-2</v>
      </c>
      <c r="M5">
        <v>6.9010199999999994E-2</v>
      </c>
      <c r="N5">
        <v>0.13636000000000001</v>
      </c>
      <c r="O5">
        <v>0.27243200000000001</v>
      </c>
      <c r="P5">
        <v>0.54358300000000004</v>
      </c>
      <c r="Q5">
        <v>1.0625000000000001E-3</v>
      </c>
      <c r="R5">
        <v>1.0728000000000001E-3</v>
      </c>
      <c r="S5">
        <v>1.1299999999999999E-3</v>
      </c>
      <c r="T5">
        <v>1.338E-3</v>
      </c>
      <c r="U5">
        <v>1.4637999999999999E-3</v>
      </c>
      <c r="V5">
        <v>1.9261E-3</v>
      </c>
      <c r="W5">
        <v>2.4364E-3</v>
      </c>
      <c r="X5">
        <v>3.6963E-3</v>
      </c>
      <c r="Y5">
        <v>6.4019999999999997E-3</v>
      </c>
      <c r="Z5">
        <v>1.1628899999999999E-2</v>
      </c>
      <c r="AA5">
        <v>2.1992399999999999E-2</v>
      </c>
      <c r="AB5">
        <v>4.2961800000000001E-2</v>
      </c>
      <c r="AC5">
        <v>8.4685099999999999E-2</v>
      </c>
      <c r="AD5">
        <v>0.16794799999999999</v>
      </c>
      <c r="AE5">
        <v>0.33674999999999999</v>
      </c>
      <c r="AF5">
        <v>0.68245199999999995</v>
      </c>
    </row>
    <row r="6" spans="1:32" x14ac:dyDescent="0.25">
      <c r="A6">
        <v>1.189E-3</v>
      </c>
      <c r="B6">
        <v>1.8567E-3</v>
      </c>
      <c r="C6">
        <v>1.4044000000000001E-3</v>
      </c>
      <c r="D6">
        <v>1.4249E-3</v>
      </c>
      <c r="E6">
        <v>1.6421000000000001E-3</v>
      </c>
      <c r="F6">
        <v>1.6969999999999999E-3</v>
      </c>
      <c r="G6">
        <v>2.4440999999999998E-3</v>
      </c>
      <c r="H6">
        <v>3.7525000000000002E-3</v>
      </c>
      <c r="I6">
        <v>5.6769000000000003E-3</v>
      </c>
      <c r="J6">
        <v>1.00599E-2</v>
      </c>
      <c r="K6">
        <v>1.8383699999999999E-2</v>
      </c>
      <c r="L6">
        <v>3.5198100000000003E-2</v>
      </c>
      <c r="M6">
        <v>6.89414E-2</v>
      </c>
      <c r="N6">
        <v>0.136271</v>
      </c>
      <c r="O6">
        <v>0.27234399999999997</v>
      </c>
      <c r="P6">
        <v>0.54339599999999999</v>
      </c>
      <c r="Q6">
        <v>9.6969999999999999E-4</v>
      </c>
      <c r="R6">
        <v>1.0711E-3</v>
      </c>
      <c r="S6">
        <v>1.1942000000000001E-3</v>
      </c>
      <c r="T6">
        <v>1.3450000000000001E-3</v>
      </c>
      <c r="U6">
        <v>1.3806000000000001E-3</v>
      </c>
      <c r="V6">
        <v>1.9089E-3</v>
      </c>
      <c r="W6">
        <v>2.5347999999999998E-3</v>
      </c>
      <c r="X6">
        <v>3.7125999999999999E-3</v>
      </c>
      <c r="Y6">
        <v>6.3429000000000003E-3</v>
      </c>
      <c r="Z6">
        <v>1.1606099999999999E-2</v>
      </c>
      <c r="AA6">
        <v>2.1899100000000001E-2</v>
      </c>
      <c r="AB6">
        <v>4.2836899999999997E-2</v>
      </c>
      <c r="AC6">
        <v>8.46161E-2</v>
      </c>
      <c r="AD6">
        <v>0.16805300000000001</v>
      </c>
      <c r="AE6">
        <v>0.33689200000000002</v>
      </c>
      <c r="AF6">
        <v>0.68231299999999995</v>
      </c>
    </row>
    <row r="7" spans="1:32" x14ac:dyDescent="0.25">
      <c r="A7">
        <v>1.1971E-3</v>
      </c>
      <c r="B7">
        <v>1.5158999999999999E-3</v>
      </c>
      <c r="C7">
        <v>1.3297000000000001E-3</v>
      </c>
      <c r="D7">
        <v>1.7034000000000001E-3</v>
      </c>
      <c r="E7">
        <v>1.5594999999999999E-3</v>
      </c>
      <c r="F7">
        <v>1.6888999999999999E-3</v>
      </c>
      <c r="G7">
        <v>2.3728E-3</v>
      </c>
      <c r="H7">
        <v>4.0613999999999997E-3</v>
      </c>
      <c r="I7">
        <v>5.8615000000000004E-3</v>
      </c>
      <c r="J7">
        <v>9.9624999999999991E-3</v>
      </c>
      <c r="K7">
        <v>1.8483099999999999E-2</v>
      </c>
      <c r="L7">
        <v>3.4919199999999997E-2</v>
      </c>
      <c r="M7">
        <v>6.8908499999999998E-2</v>
      </c>
      <c r="N7">
        <v>0.13633300000000001</v>
      </c>
      <c r="O7">
        <v>0.27242300000000003</v>
      </c>
      <c r="P7">
        <v>0.54339999999999999</v>
      </c>
      <c r="Q7">
        <v>9.2630000000000002E-4</v>
      </c>
      <c r="R7">
        <v>9.2190000000000002E-4</v>
      </c>
      <c r="S7">
        <v>1.0851000000000001E-3</v>
      </c>
      <c r="T7">
        <v>1.1486000000000001E-3</v>
      </c>
      <c r="U7">
        <v>1.3498E-3</v>
      </c>
      <c r="V7">
        <v>2.1156E-3</v>
      </c>
      <c r="W7">
        <v>2.5496999999999998E-3</v>
      </c>
      <c r="X7">
        <v>3.8021000000000001E-3</v>
      </c>
      <c r="Y7">
        <v>6.5567000000000004E-3</v>
      </c>
      <c r="Z7">
        <v>1.1692599999999999E-2</v>
      </c>
      <c r="AA7">
        <v>2.2229800000000001E-2</v>
      </c>
      <c r="AB7">
        <v>4.2820999999999998E-2</v>
      </c>
      <c r="AC7">
        <v>8.4886000000000003E-2</v>
      </c>
      <c r="AD7">
        <v>0.167987</v>
      </c>
      <c r="AE7">
        <v>0.33681100000000003</v>
      </c>
      <c r="AF7">
        <v>0.68220700000000001</v>
      </c>
    </row>
    <row r="8" spans="1:32" x14ac:dyDescent="0.25">
      <c r="A8">
        <v>1.1820000000000001E-3</v>
      </c>
      <c r="B8">
        <v>1.56E-3</v>
      </c>
      <c r="C8">
        <v>1.3171000000000001E-3</v>
      </c>
      <c r="D8">
        <v>1.6286E-3</v>
      </c>
      <c r="E8">
        <v>1.5563E-3</v>
      </c>
      <c r="F8">
        <v>1.768E-3</v>
      </c>
      <c r="G8">
        <v>2.3952000000000001E-3</v>
      </c>
      <c r="H8">
        <v>4.9281000000000004E-3</v>
      </c>
      <c r="I8">
        <v>5.6458000000000003E-3</v>
      </c>
      <c r="J8">
        <v>9.9302000000000001E-3</v>
      </c>
      <c r="K8">
        <v>1.8364100000000001E-2</v>
      </c>
      <c r="L8">
        <v>3.5011800000000003E-2</v>
      </c>
      <c r="M8">
        <v>6.8923399999999996E-2</v>
      </c>
      <c r="N8">
        <v>0.13633000000000001</v>
      </c>
      <c r="O8">
        <v>0.27241799999999999</v>
      </c>
      <c r="P8">
        <v>0.54351499999999997</v>
      </c>
      <c r="Q8">
        <v>9.1640000000000005E-4</v>
      </c>
      <c r="R8">
        <v>9.0209999999999997E-4</v>
      </c>
      <c r="S8">
        <v>1.0950999999999999E-3</v>
      </c>
      <c r="T8">
        <v>1.2737E-3</v>
      </c>
      <c r="U8">
        <v>1.8760999999999999E-3</v>
      </c>
      <c r="V8">
        <v>1.9738999999999998E-3</v>
      </c>
      <c r="W8">
        <v>3.9781E-3</v>
      </c>
      <c r="X8">
        <v>3.9760000000000004E-3</v>
      </c>
      <c r="Y8">
        <v>6.7546000000000004E-3</v>
      </c>
      <c r="Z8">
        <v>1.15476E-2</v>
      </c>
      <c r="AA8">
        <v>2.19899E-2</v>
      </c>
      <c r="AB8">
        <v>4.2762599999999998E-2</v>
      </c>
      <c r="AC8">
        <v>8.4787699999999994E-2</v>
      </c>
      <c r="AD8">
        <v>0.167937</v>
      </c>
      <c r="AE8">
        <v>0.33681699999999998</v>
      </c>
      <c r="AF8">
        <v>0.682361</v>
      </c>
    </row>
    <row r="9" spans="1:32" x14ac:dyDescent="0.25">
      <c r="A9">
        <v>1.1961000000000001E-3</v>
      </c>
      <c r="B9">
        <v>1.5527E-3</v>
      </c>
      <c r="C9">
        <v>1.4989000000000001E-3</v>
      </c>
      <c r="D9">
        <v>1.421E-3</v>
      </c>
      <c r="E9">
        <v>1.5361000000000001E-3</v>
      </c>
      <c r="F9">
        <v>1.6807E-3</v>
      </c>
      <c r="G9">
        <v>2.3387999999999998E-3</v>
      </c>
      <c r="H9">
        <v>3.6031000000000001E-3</v>
      </c>
      <c r="I9">
        <v>6.1238000000000004E-3</v>
      </c>
      <c r="J9">
        <v>9.8137999999999993E-3</v>
      </c>
      <c r="K9">
        <v>1.8342000000000001E-2</v>
      </c>
      <c r="L9">
        <v>3.5087E-2</v>
      </c>
      <c r="M9">
        <v>6.9028400000000004E-2</v>
      </c>
      <c r="N9">
        <v>0.13627900000000001</v>
      </c>
      <c r="O9">
        <v>0.27231100000000003</v>
      </c>
      <c r="P9">
        <v>0.54345299999999996</v>
      </c>
      <c r="Q9">
        <v>9.0140000000000001E-4</v>
      </c>
      <c r="R9">
        <v>9.1980000000000002E-4</v>
      </c>
      <c r="S9">
        <v>1.0426000000000001E-3</v>
      </c>
      <c r="T9">
        <v>1.2455000000000001E-3</v>
      </c>
      <c r="U9">
        <v>1.5721000000000001E-3</v>
      </c>
      <c r="V9">
        <v>1.9051999999999999E-3</v>
      </c>
      <c r="W9">
        <v>2.7250999999999998E-3</v>
      </c>
      <c r="X9">
        <v>3.8284E-3</v>
      </c>
      <c r="Y9">
        <v>6.4012000000000001E-3</v>
      </c>
      <c r="Z9">
        <v>1.14591E-2</v>
      </c>
      <c r="AA9">
        <v>2.1927800000000001E-2</v>
      </c>
      <c r="AB9">
        <v>4.2622399999999998E-2</v>
      </c>
      <c r="AC9">
        <v>8.4746100000000005E-2</v>
      </c>
      <c r="AD9">
        <v>0.167903</v>
      </c>
      <c r="AE9">
        <v>0.336814</v>
      </c>
      <c r="AF9">
        <v>0.68238699999999997</v>
      </c>
    </row>
    <row r="10" spans="1:32" x14ac:dyDescent="0.25">
      <c r="A10">
        <v>1.1743999999999999E-3</v>
      </c>
      <c r="B10">
        <v>1.4746E-3</v>
      </c>
      <c r="C10">
        <v>1.7829E-3</v>
      </c>
      <c r="D10">
        <v>1.5384999999999999E-3</v>
      </c>
      <c r="E10">
        <v>1.6436999999999999E-3</v>
      </c>
      <c r="F10">
        <v>1.7426E-3</v>
      </c>
      <c r="G10">
        <v>2.5206E-3</v>
      </c>
      <c r="H10">
        <v>3.5699999999999998E-3</v>
      </c>
      <c r="I10">
        <v>5.7388999999999999E-3</v>
      </c>
      <c r="J10">
        <v>9.9450000000000007E-3</v>
      </c>
      <c r="K10">
        <v>1.8418199999999999E-2</v>
      </c>
      <c r="L10">
        <v>3.4969600000000003E-2</v>
      </c>
      <c r="M10">
        <v>6.9066100000000005E-2</v>
      </c>
      <c r="N10">
        <v>0.13644300000000001</v>
      </c>
      <c r="O10">
        <v>0.27237099999999997</v>
      </c>
      <c r="P10">
        <v>0.543346</v>
      </c>
      <c r="Q10">
        <v>8.9990000000000003E-4</v>
      </c>
      <c r="R10">
        <v>9.4490000000000004E-4</v>
      </c>
      <c r="S10">
        <v>1.1796E-3</v>
      </c>
      <c r="T10">
        <v>1.2327E-3</v>
      </c>
      <c r="U10">
        <v>1.3879000000000001E-3</v>
      </c>
      <c r="V10">
        <v>1.8946E-3</v>
      </c>
      <c r="W10">
        <v>2.5934E-3</v>
      </c>
      <c r="X10">
        <v>3.7353999999999998E-3</v>
      </c>
      <c r="Y10">
        <v>6.4304999999999996E-3</v>
      </c>
      <c r="Z10">
        <v>1.1594E-2</v>
      </c>
      <c r="AA10">
        <v>2.1846299999999999E-2</v>
      </c>
      <c r="AB10">
        <v>4.2656800000000002E-2</v>
      </c>
      <c r="AC10">
        <v>8.46721E-2</v>
      </c>
      <c r="AD10">
        <v>0.16828399999999999</v>
      </c>
      <c r="AE10">
        <v>0.33691599999999999</v>
      </c>
      <c r="AF10">
        <v>0.68240299999999998</v>
      </c>
    </row>
    <row r="11" spans="1:32" x14ac:dyDescent="0.25">
      <c r="A11">
        <v>1.3522E-3</v>
      </c>
      <c r="B11">
        <v>1.4602E-3</v>
      </c>
      <c r="C11">
        <v>1.3531000000000001E-3</v>
      </c>
      <c r="D11">
        <v>1.6295000000000001E-3</v>
      </c>
      <c r="E11">
        <v>1.5263E-3</v>
      </c>
      <c r="F11">
        <v>1.6316E-3</v>
      </c>
      <c r="G11">
        <v>2.4862E-3</v>
      </c>
      <c r="H11">
        <v>3.5265000000000001E-3</v>
      </c>
      <c r="I11">
        <v>5.7210000000000004E-3</v>
      </c>
      <c r="J11">
        <v>9.9425999999999994E-3</v>
      </c>
      <c r="K11">
        <v>1.8235299999999999E-2</v>
      </c>
      <c r="L11">
        <v>3.5068200000000001E-2</v>
      </c>
      <c r="M11">
        <v>6.9003999999999996E-2</v>
      </c>
      <c r="N11">
        <v>0.136351</v>
      </c>
      <c r="O11">
        <v>0.27251999999999998</v>
      </c>
      <c r="P11">
        <v>0.54349899999999995</v>
      </c>
      <c r="Q11">
        <v>9.278E-4</v>
      </c>
      <c r="R11">
        <v>9.188E-4</v>
      </c>
      <c r="S11">
        <v>1.2800999999999999E-3</v>
      </c>
      <c r="T11">
        <v>1.3004E-3</v>
      </c>
      <c r="U11">
        <v>1.3259000000000001E-3</v>
      </c>
      <c r="V11">
        <v>1.8682E-3</v>
      </c>
      <c r="W11">
        <v>2.4853000000000002E-3</v>
      </c>
      <c r="X11">
        <v>4.0039000000000003E-3</v>
      </c>
      <c r="Y11">
        <v>6.3598999999999999E-3</v>
      </c>
      <c r="Z11">
        <v>1.17079E-2</v>
      </c>
      <c r="AA11">
        <v>2.1943399999999998E-2</v>
      </c>
      <c r="AB11">
        <v>4.2791900000000001E-2</v>
      </c>
      <c r="AC11">
        <v>8.4753599999999998E-2</v>
      </c>
      <c r="AD11">
        <v>0.167938</v>
      </c>
      <c r="AE11">
        <v>0.33684599999999998</v>
      </c>
      <c r="AF11">
        <v>0.682365</v>
      </c>
    </row>
    <row r="12" spans="1:32" x14ac:dyDescent="0.25">
      <c r="A12">
        <v>1.2652E-3</v>
      </c>
      <c r="B12">
        <v>1.4344E-3</v>
      </c>
      <c r="C12">
        <v>1.2444999999999999E-3</v>
      </c>
      <c r="D12">
        <v>1.9067999999999999E-3</v>
      </c>
      <c r="E12">
        <v>1.4945E-3</v>
      </c>
      <c r="F12">
        <v>1.8775E-3</v>
      </c>
      <c r="G12">
        <v>2.9020000000000001E-3</v>
      </c>
      <c r="H12">
        <v>3.6250000000000002E-3</v>
      </c>
      <c r="I12">
        <v>5.8155000000000004E-3</v>
      </c>
      <c r="J12">
        <v>9.9165999999999994E-3</v>
      </c>
      <c r="K12">
        <v>1.82877E-2</v>
      </c>
      <c r="L12">
        <v>3.5082599999999999E-2</v>
      </c>
      <c r="M12">
        <v>6.8906499999999996E-2</v>
      </c>
      <c r="N12">
        <v>0.136212</v>
      </c>
      <c r="O12">
        <v>0.27265099999999998</v>
      </c>
      <c r="P12">
        <v>0.54352100000000003</v>
      </c>
      <c r="Q12">
        <v>9.0680000000000003E-4</v>
      </c>
      <c r="R12">
        <v>1.0054E-3</v>
      </c>
      <c r="S12">
        <v>1.3143E-3</v>
      </c>
      <c r="T12">
        <v>1.4541000000000001E-3</v>
      </c>
      <c r="U12">
        <v>1.3806000000000001E-3</v>
      </c>
      <c r="V12">
        <v>1.9196E-3</v>
      </c>
      <c r="W12">
        <v>3.0842999999999999E-3</v>
      </c>
      <c r="X12">
        <v>3.8774999999999999E-3</v>
      </c>
      <c r="Y12">
        <v>6.5627000000000003E-3</v>
      </c>
      <c r="Z12">
        <v>1.16861E-2</v>
      </c>
      <c r="AA12">
        <v>2.2003399999999999E-2</v>
      </c>
      <c r="AB12">
        <v>4.2780699999999998E-2</v>
      </c>
      <c r="AC12">
        <v>8.4802799999999998E-2</v>
      </c>
      <c r="AD12">
        <v>0.16803999999999999</v>
      </c>
      <c r="AE12">
        <v>0.33676</v>
      </c>
      <c r="AF12">
        <v>0.682145</v>
      </c>
    </row>
    <row r="13" spans="1:32" x14ac:dyDescent="0.25">
      <c r="A13">
        <v>1.1811E-3</v>
      </c>
      <c r="B13">
        <v>1.3802E-3</v>
      </c>
      <c r="C13">
        <v>1.5294E-3</v>
      </c>
      <c r="D13">
        <v>1.745E-3</v>
      </c>
      <c r="E13">
        <v>1.5196000000000001E-3</v>
      </c>
      <c r="F13">
        <v>1.9004E-3</v>
      </c>
      <c r="G13">
        <v>2.5221000000000002E-3</v>
      </c>
      <c r="H13">
        <v>3.4654E-3</v>
      </c>
      <c r="I13">
        <v>5.7539000000000002E-3</v>
      </c>
      <c r="J13">
        <v>9.9419E-3</v>
      </c>
      <c r="K13">
        <v>1.8230199999999998E-2</v>
      </c>
      <c r="L13">
        <v>3.4915599999999998E-2</v>
      </c>
      <c r="M13">
        <v>6.9000599999999995E-2</v>
      </c>
      <c r="N13">
        <v>0.13628799999999999</v>
      </c>
      <c r="O13">
        <v>0.272318</v>
      </c>
      <c r="P13">
        <v>0.54331399999999996</v>
      </c>
      <c r="Q13">
        <v>9.2480000000000004E-4</v>
      </c>
      <c r="R13">
        <v>9.6000000000000002E-4</v>
      </c>
      <c r="S13">
        <v>1.2359000000000001E-3</v>
      </c>
      <c r="T13">
        <v>1.4441E-3</v>
      </c>
      <c r="U13">
        <v>1.2856E-3</v>
      </c>
      <c r="V13">
        <v>1.882E-3</v>
      </c>
      <c r="W13">
        <v>3.1784000000000001E-3</v>
      </c>
      <c r="X13">
        <v>3.7731000000000002E-3</v>
      </c>
      <c r="Y13">
        <v>6.3709999999999999E-3</v>
      </c>
      <c r="Z13">
        <v>1.1786700000000001E-2</v>
      </c>
      <c r="AA13">
        <v>2.1991699999999999E-2</v>
      </c>
      <c r="AB13">
        <v>4.2736000000000003E-2</v>
      </c>
      <c r="AC13">
        <v>8.46557E-2</v>
      </c>
      <c r="AD13">
        <v>0.16807</v>
      </c>
      <c r="AE13">
        <v>0.33694099999999999</v>
      </c>
      <c r="AF13">
        <v>0.68235400000000002</v>
      </c>
    </row>
    <row r="14" spans="1:32" x14ac:dyDescent="0.25">
      <c r="A14">
        <v>1.3506E-3</v>
      </c>
      <c r="B14">
        <v>1.3767E-3</v>
      </c>
      <c r="C14">
        <v>1.4580999999999999E-3</v>
      </c>
      <c r="D14">
        <v>1.6482000000000001E-3</v>
      </c>
      <c r="E14">
        <v>1.6854999999999999E-3</v>
      </c>
      <c r="F14">
        <v>1.7297E-3</v>
      </c>
      <c r="G14">
        <v>2.4621000000000001E-3</v>
      </c>
      <c r="H14">
        <v>3.5493E-3</v>
      </c>
      <c r="I14">
        <v>5.7834999999999996E-3</v>
      </c>
      <c r="J14">
        <v>1.0015400000000001E-2</v>
      </c>
      <c r="K14">
        <v>1.8280999999999999E-2</v>
      </c>
      <c r="L14">
        <v>3.5151000000000002E-2</v>
      </c>
      <c r="M14">
        <v>6.9047999999999998E-2</v>
      </c>
      <c r="N14">
        <v>0.13651199999999999</v>
      </c>
      <c r="O14">
        <v>0.27241599999999999</v>
      </c>
      <c r="P14">
        <v>0.54345200000000005</v>
      </c>
      <c r="Q14">
        <v>1.109E-3</v>
      </c>
      <c r="R14">
        <v>1.1608E-3</v>
      </c>
      <c r="S14">
        <v>1.1409E-3</v>
      </c>
      <c r="T14">
        <v>1.3893E-3</v>
      </c>
      <c r="U14">
        <v>1.4901000000000001E-3</v>
      </c>
      <c r="V14">
        <v>2.0588999999999998E-3</v>
      </c>
      <c r="W14">
        <v>3.3088000000000002E-3</v>
      </c>
      <c r="X14">
        <v>3.7185E-3</v>
      </c>
      <c r="Y14">
        <v>6.3315999999999997E-3</v>
      </c>
      <c r="Z14">
        <v>1.1520799999999999E-2</v>
      </c>
      <c r="AA14">
        <v>2.19863E-2</v>
      </c>
      <c r="AB14">
        <v>4.2810300000000003E-2</v>
      </c>
      <c r="AC14">
        <v>8.4586400000000006E-2</v>
      </c>
      <c r="AD14">
        <v>0.16788600000000001</v>
      </c>
      <c r="AE14">
        <v>0.33688699999999999</v>
      </c>
      <c r="AF14">
        <v>0.68234600000000001</v>
      </c>
    </row>
    <row r="15" spans="1:32" x14ac:dyDescent="0.25">
      <c r="A15">
        <v>1.2438E-3</v>
      </c>
      <c r="B15">
        <v>1.6146000000000001E-3</v>
      </c>
      <c r="C15">
        <v>1.3665999999999999E-3</v>
      </c>
      <c r="D15">
        <v>1.4589E-3</v>
      </c>
      <c r="E15">
        <v>1.6626E-3</v>
      </c>
      <c r="F15">
        <v>1.7943E-3</v>
      </c>
      <c r="G15">
        <v>2.3877E-3</v>
      </c>
      <c r="H15">
        <v>4.0896999999999999E-3</v>
      </c>
      <c r="I15">
        <v>5.7905999999999999E-3</v>
      </c>
      <c r="J15">
        <v>9.8978999999999994E-3</v>
      </c>
      <c r="K15">
        <v>1.82696E-2</v>
      </c>
      <c r="L15">
        <v>3.5081099999999997E-2</v>
      </c>
      <c r="M15">
        <v>6.8985400000000002E-2</v>
      </c>
      <c r="N15">
        <v>0.136182</v>
      </c>
      <c r="O15">
        <v>0.27244800000000002</v>
      </c>
      <c r="P15">
        <v>0.54336499999999999</v>
      </c>
      <c r="Q15">
        <v>9.8320000000000005E-4</v>
      </c>
      <c r="R15">
        <v>1.0235000000000001E-3</v>
      </c>
      <c r="S15">
        <v>1.0342999999999999E-3</v>
      </c>
      <c r="T15">
        <v>1.3603000000000001E-3</v>
      </c>
      <c r="U15">
        <v>1.3599E-3</v>
      </c>
      <c r="V15">
        <v>1.9889E-3</v>
      </c>
      <c r="W15">
        <v>2.4589E-3</v>
      </c>
      <c r="X15">
        <v>3.8774999999999999E-3</v>
      </c>
      <c r="Y15">
        <v>6.4302999999999999E-3</v>
      </c>
      <c r="Z15">
        <v>1.1633599999999999E-2</v>
      </c>
      <c r="AA15">
        <v>2.2007200000000001E-2</v>
      </c>
      <c r="AB15">
        <v>4.2916200000000002E-2</v>
      </c>
      <c r="AC15">
        <v>8.4531499999999996E-2</v>
      </c>
      <c r="AD15">
        <v>0.16781499999999999</v>
      </c>
      <c r="AE15">
        <v>0.336837</v>
      </c>
      <c r="AF15">
        <v>0.682334</v>
      </c>
    </row>
    <row r="16" spans="1:32" x14ac:dyDescent="0.25">
      <c r="A16">
        <v>1.2109E-3</v>
      </c>
      <c r="B16">
        <v>1.2761000000000001E-3</v>
      </c>
      <c r="C16">
        <v>1.6186E-3</v>
      </c>
      <c r="D16">
        <v>1.4522000000000001E-3</v>
      </c>
      <c r="E16">
        <v>1.5892E-3</v>
      </c>
      <c r="F16">
        <v>1.7761000000000001E-3</v>
      </c>
      <c r="G16">
        <v>2.3018000000000001E-3</v>
      </c>
      <c r="H16">
        <v>3.5907999999999999E-3</v>
      </c>
      <c r="I16">
        <v>5.9617999999999997E-3</v>
      </c>
      <c r="J16">
        <v>9.9656999999999992E-3</v>
      </c>
      <c r="K16">
        <v>1.83783E-2</v>
      </c>
      <c r="L16">
        <v>3.5248399999999999E-2</v>
      </c>
      <c r="M16">
        <v>6.88835E-2</v>
      </c>
      <c r="N16">
        <v>0.136458</v>
      </c>
      <c r="O16">
        <v>0.27231699999999998</v>
      </c>
      <c r="P16">
        <v>0.54348300000000005</v>
      </c>
      <c r="Q16">
        <v>9.5189999999999999E-4</v>
      </c>
      <c r="R16">
        <v>1.0409E-3</v>
      </c>
      <c r="S16">
        <v>1.0281000000000001E-3</v>
      </c>
      <c r="T16">
        <v>1.2482999999999999E-3</v>
      </c>
      <c r="U16">
        <v>1.4494E-3</v>
      </c>
      <c r="V16">
        <v>1.8351000000000001E-3</v>
      </c>
      <c r="W16">
        <v>2.4535999999999998E-3</v>
      </c>
      <c r="X16">
        <v>3.7626000000000001E-3</v>
      </c>
      <c r="Y16">
        <v>6.4273999999999998E-3</v>
      </c>
      <c r="Z16">
        <v>1.16591E-2</v>
      </c>
      <c r="AA16">
        <v>2.2170700000000002E-2</v>
      </c>
      <c r="AB16">
        <v>4.2987499999999998E-2</v>
      </c>
      <c r="AC16">
        <v>8.45688E-2</v>
      </c>
      <c r="AD16">
        <v>0.168989</v>
      </c>
      <c r="AE16">
        <v>0.33687499999999998</v>
      </c>
      <c r="AF16">
        <v>0.68256399999999995</v>
      </c>
    </row>
    <row r="17" spans="1:32" x14ac:dyDescent="0.25">
      <c r="A17">
        <v>1.1907E-3</v>
      </c>
      <c r="B17">
        <v>1.3327E-3</v>
      </c>
      <c r="C17">
        <v>1.6033E-3</v>
      </c>
      <c r="D17">
        <v>1.4112E-3</v>
      </c>
      <c r="E17">
        <v>1.5416E-3</v>
      </c>
      <c r="F17">
        <v>1.691E-3</v>
      </c>
      <c r="G17">
        <v>2.3124E-3</v>
      </c>
      <c r="H17">
        <v>3.4949999999999998E-3</v>
      </c>
      <c r="I17">
        <v>6.1498000000000004E-3</v>
      </c>
      <c r="J17">
        <v>1.00109E-2</v>
      </c>
      <c r="K17">
        <v>1.8267599999999998E-2</v>
      </c>
      <c r="L17">
        <v>3.5115199999999999E-2</v>
      </c>
      <c r="M17">
        <v>6.8971199999999996E-2</v>
      </c>
      <c r="N17">
        <v>0.13638900000000001</v>
      </c>
      <c r="O17">
        <v>0.27234999999999998</v>
      </c>
      <c r="P17">
        <v>0.54341399999999995</v>
      </c>
      <c r="Q17">
        <v>9.1379999999999999E-4</v>
      </c>
      <c r="R17">
        <v>1.0296999999999999E-3</v>
      </c>
      <c r="S17">
        <v>9.8909999999999992E-4</v>
      </c>
      <c r="T17">
        <v>1.1378E-3</v>
      </c>
      <c r="U17">
        <v>1.3542999999999999E-3</v>
      </c>
      <c r="V17">
        <v>1.9338999999999999E-3</v>
      </c>
      <c r="W17">
        <v>3.1756000000000002E-3</v>
      </c>
      <c r="X17">
        <v>3.6966E-3</v>
      </c>
      <c r="Y17">
        <v>6.3540000000000003E-3</v>
      </c>
      <c r="Z17">
        <v>1.1818E-2</v>
      </c>
      <c r="AA17">
        <v>2.19156E-2</v>
      </c>
      <c r="AB17">
        <v>4.2864800000000002E-2</v>
      </c>
      <c r="AC17">
        <v>8.4554400000000002E-2</v>
      </c>
      <c r="AD17">
        <v>0.16908799999999999</v>
      </c>
      <c r="AE17">
        <v>0.33689000000000002</v>
      </c>
      <c r="AF17">
        <v>0.68218500000000004</v>
      </c>
    </row>
    <row r="18" spans="1:32" x14ac:dyDescent="0.25">
      <c r="A18">
        <v>1.1726E-3</v>
      </c>
      <c r="B18">
        <v>1.2566000000000001E-3</v>
      </c>
      <c r="C18">
        <v>1.4575E-3</v>
      </c>
      <c r="D18">
        <v>1.2614E-3</v>
      </c>
      <c r="E18">
        <v>1.5482E-3</v>
      </c>
      <c r="F18">
        <v>1.6871E-3</v>
      </c>
      <c r="G18">
        <v>2.2905E-3</v>
      </c>
      <c r="H18">
        <v>3.5752000000000002E-3</v>
      </c>
      <c r="I18">
        <v>5.9392000000000004E-3</v>
      </c>
      <c r="J18">
        <v>1.0022400000000001E-2</v>
      </c>
      <c r="K18">
        <v>1.8494E-2</v>
      </c>
      <c r="L18">
        <v>3.5167200000000003E-2</v>
      </c>
      <c r="M18">
        <v>6.9066299999999997E-2</v>
      </c>
      <c r="N18">
        <v>0.13636499999999999</v>
      </c>
      <c r="O18">
        <v>0.27230900000000002</v>
      </c>
      <c r="P18">
        <v>0.54340500000000003</v>
      </c>
      <c r="Q18">
        <v>9.2310000000000005E-4</v>
      </c>
      <c r="R18">
        <v>9.4600000000000001E-4</v>
      </c>
      <c r="S18">
        <v>9.9510000000000006E-4</v>
      </c>
      <c r="T18">
        <v>1.3001E-3</v>
      </c>
      <c r="U18">
        <v>1.7038000000000001E-3</v>
      </c>
      <c r="V18">
        <v>1.8982000000000001E-3</v>
      </c>
      <c r="W18">
        <v>4.0403000000000001E-3</v>
      </c>
      <c r="X18">
        <v>3.7055999999999999E-3</v>
      </c>
      <c r="Y18">
        <v>6.4060999999999996E-3</v>
      </c>
      <c r="Z18">
        <v>1.15129E-2</v>
      </c>
      <c r="AA18">
        <v>2.19086E-2</v>
      </c>
      <c r="AB18">
        <v>4.2910299999999998E-2</v>
      </c>
      <c r="AC18">
        <v>8.4583000000000005E-2</v>
      </c>
      <c r="AD18">
        <v>0.16892799999999999</v>
      </c>
      <c r="AE18">
        <v>0.33677499999999999</v>
      </c>
      <c r="AF18">
        <v>0.68246499999999999</v>
      </c>
    </row>
    <row r="19" spans="1:32" x14ac:dyDescent="0.25">
      <c r="A19">
        <v>1.2225999999999999E-3</v>
      </c>
      <c r="B19">
        <v>1.3064999999999999E-3</v>
      </c>
      <c r="C19">
        <v>1.3737000000000001E-3</v>
      </c>
      <c r="D19">
        <v>1.2489999999999999E-3</v>
      </c>
      <c r="E19">
        <v>1.505E-3</v>
      </c>
      <c r="F19">
        <v>1.6758000000000001E-3</v>
      </c>
      <c r="G19">
        <v>2.1903000000000001E-3</v>
      </c>
      <c r="H19">
        <v>3.6749E-3</v>
      </c>
      <c r="I19">
        <v>5.9309000000000002E-3</v>
      </c>
      <c r="J19">
        <v>9.7655999999999993E-3</v>
      </c>
      <c r="K19">
        <v>1.8297999999999998E-2</v>
      </c>
      <c r="L19">
        <v>3.5149E-2</v>
      </c>
      <c r="M19">
        <v>6.8878099999999998E-2</v>
      </c>
      <c r="N19">
        <v>0.136432</v>
      </c>
      <c r="O19">
        <v>0.27234999999999998</v>
      </c>
      <c r="P19">
        <v>0.54334800000000005</v>
      </c>
      <c r="Q19">
        <v>9.2670000000000003E-4</v>
      </c>
      <c r="R19">
        <v>9.1679999999999995E-4</v>
      </c>
      <c r="S19">
        <v>9.5679999999999995E-4</v>
      </c>
      <c r="T19">
        <v>1.1776E-3</v>
      </c>
      <c r="U19">
        <v>1.4567E-3</v>
      </c>
      <c r="V19">
        <v>1.8201999999999999E-3</v>
      </c>
      <c r="W19">
        <v>2.4719999999999998E-3</v>
      </c>
      <c r="X19">
        <v>4.0178999999999996E-3</v>
      </c>
      <c r="Y19">
        <v>6.3569000000000004E-3</v>
      </c>
      <c r="Z19">
        <v>1.16005E-2</v>
      </c>
      <c r="AA19">
        <v>2.18928E-2</v>
      </c>
      <c r="AB19">
        <v>4.2946199999999997E-2</v>
      </c>
      <c r="AC19">
        <v>8.4466799999999995E-2</v>
      </c>
      <c r="AD19">
        <v>0.16906199999999999</v>
      </c>
      <c r="AE19">
        <v>0.33685700000000002</v>
      </c>
      <c r="AF19">
        <v>0.68229499999999998</v>
      </c>
    </row>
    <row r="20" spans="1:32" x14ac:dyDescent="0.25">
      <c r="A20">
        <v>1.4326E-3</v>
      </c>
      <c r="B20">
        <v>1.2775E-3</v>
      </c>
      <c r="C20">
        <v>1.3048000000000001E-3</v>
      </c>
      <c r="D20">
        <v>1.2497000000000001E-3</v>
      </c>
      <c r="E20">
        <v>1.6182E-3</v>
      </c>
      <c r="F20">
        <v>2.0073999999999999E-3</v>
      </c>
      <c r="G20">
        <v>2.2247999999999999E-3</v>
      </c>
      <c r="H20">
        <v>3.5179999999999999E-3</v>
      </c>
      <c r="I20">
        <v>5.6880999999999998E-3</v>
      </c>
      <c r="J20">
        <v>9.8595999999999996E-3</v>
      </c>
      <c r="K20">
        <v>1.81914E-2</v>
      </c>
      <c r="L20">
        <v>3.5028400000000001E-2</v>
      </c>
      <c r="M20">
        <v>6.91528E-2</v>
      </c>
      <c r="N20">
        <v>0.13630800000000001</v>
      </c>
      <c r="O20">
        <v>0.27233800000000002</v>
      </c>
      <c r="P20">
        <v>0.543408</v>
      </c>
      <c r="Q20">
        <v>9.1560000000000003E-4</v>
      </c>
      <c r="R20">
        <v>9.2219999999999997E-4</v>
      </c>
      <c r="S20">
        <v>9.8029999999999992E-4</v>
      </c>
      <c r="T20">
        <v>1.3488E-3</v>
      </c>
      <c r="U20">
        <v>1.4651E-3</v>
      </c>
      <c r="V20">
        <v>1.8717E-3</v>
      </c>
      <c r="W20">
        <v>2.3175000000000001E-3</v>
      </c>
      <c r="X20">
        <v>3.738E-3</v>
      </c>
      <c r="Y20">
        <v>6.3280999999999997E-3</v>
      </c>
      <c r="Z20">
        <v>1.16782E-2</v>
      </c>
      <c r="AA20">
        <v>2.1968600000000001E-2</v>
      </c>
      <c r="AB20">
        <v>4.2904400000000002E-2</v>
      </c>
      <c r="AC20">
        <v>8.4623299999999999E-2</v>
      </c>
      <c r="AD20">
        <v>0.168874</v>
      </c>
      <c r="AE20">
        <v>0.33677400000000002</v>
      </c>
      <c r="AF20">
        <v>0.68234300000000003</v>
      </c>
    </row>
    <row r="21" spans="1:32" x14ac:dyDescent="0.25">
      <c r="A21">
        <v>1.8806999999999999E-3</v>
      </c>
      <c r="B21">
        <v>1.2566999999999999E-3</v>
      </c>
      <c r="C21">
        <v>1.3024E-3</v>
      </c>
      <c r="D21">
        <v>1.7462999999999999E-3</v>
      </c>
      <c r="E21">
        <v>1.5793999999999999E-3</v>
      </c>
      <c r="F21">
        <v>1.7523E-3</v>
      </c>
      <c r="G21">
        <v>2.1478999999999999E-3</v>
      </c>
      <c r="H21">
        <v>3.4805000000000001E-3</v>
      </c>
      <c r="I21">
        <v>5.8063000000000003E-3</v>
      </c>
      <c r="J21">
        <v>9.9009000000000007E-3</v>
      </c>
      <c r="K21">
        <v>1.8470500000000001E-2</v>
      </c>
      <c r="L21">
        <v>3.4899199999999998E-2</v>
      </c>
      <c r="M21">
        <v>6.8952100000000002E-2</v>
      </c>
      <c r="N21">
        <v>0.13625899999999999</v>
      </c>
      <c r="O21">
        <v>0.272343</v>
      </c>
      <c r="P21">
        <v>0.54337000000000002</v>
      </c>
      <c r="Q21">
        <v>9.0609999999999996E-4</v>
      </c>
      <c r="R21">
        <v>9.4410000000000002E-4</v>
      </c>
      <c r="S21">
        <v>9.4669999999999997E-4</v>
      </c>
      <c r="T21">
        <v>1.1283E-3</v>
      </c>
      <c r="U21">
        <v>1.5143999999999999E-3</v>
      </c>
      <c r="V21">
        <v>3.7588000000000001E-3</v>
      </c>
      <c r="W21">
        <v>2.3678000000000002E-3</v>
      </c>
      <c r="X21">
        <v>3.6619999999999999E-3</v>
      </c>
      <c r="Y21">
        <v>6.3468999999999999E-3</v>
      </c>
      <c r="Z21">
        <v>1.16334E-2</v>
      </c>
      <c r="AA21">
        <v>2.18806E-2</v>
      </c>
      <c r="AB21">
        <v>4.2845099999999997E-2</v>
      </c>
      <c r="AC21">
        <v>8.4585599999999997E-2</v>
      </c>
      <c r="AD21">
        <v>0.168957</v>
      </c>
      <c r="AE21">
        <v>0.33688000000000001</v>
      </c>
      <c r="AF21">
        <v>0.68246200000000001</v>
      </c>
    </row>
    <row r="22" spans="1:32" x14ac:dyDescent="0.25">
      <c r="A22">
        <v>1.8163999999999999E-3</v>
      </c>
      <c r="B22">
        <v>1.2179000000000001E-3</v>
      </c>
      <c r="C22">
        <v>1.3081E-3</v>
      </c>
      <c r="D22">
        <v>1.6829E-3</v>
      </c>
      <c r="E22">
        <v>1.6239E-3</v>
      </c>
      <c r="F22">
        <v>1.7136E-3</v>
      </c>
      <c r="G22">
        <v>2.1616000000000001E-3</v>
      </c>
      <c r="H22">
        <v>3.6196000000000002E-3</v>
      </c>
      <c r="I22">
        <v>5.8653999999999998E-3</v>
      </c>
      <c r="J22">
        <v>1.00883E-2</v>
      </c>
      <c r="K22">
        <v>1.83631E-2</v>
      </c>
      <c r="L22">
        <v>3.5089599999999999E-2</v>
      </c>
      <c r="M22">
        <v>6.9036899999999998E-2</v>
      </c>
      <c r="N22">
        <v>0.13631399999999999</v>
      </c>
      <c r="O22">
        <v>0.27233200000000002</v>
      </c>
      <c r="P22">
        <v>0.54342000000000001</v>
      </c>
      <c r="Q22">
        <v>9.0910000000000003E-4</v>
      </c>
      <c r="R22">
        <v>9.5549999999999997E-4</v>
      </c>
      <c r="S22">
        <v>9.8919999999999998E-4</v>
      </c>
      <c r="T22">
        <v>1.3561999999999999E-3</v>
      </c>
      <c r="U22">
        <v>1.5296000000000001E-3</v>
      </c>
      <c r="V22">
        <v>1.8297000000000001E-3</v>
      </c>
      <c r="W22">
        <v>2.5915000000000001E-3</v>
      </c>
      <c r="X22">
        <v>3.6941999999999999E-3</v>
      </c>
      <c r="Y22">
        <v>6.3606000000000001E-3</v>
      </c>
      <c r="Z22">
        <v>1.15706E-2</v>
      </c>
      <c r="AA22">
        <v>2.17889E-2</v>
      </c>
      <c r="AB22">
        <v>4.2941399999999998E-2</v>
      </c>
      <c r="AC22">
        <v>8.4697999999999996E-2</v>
      </c>
      <c r="AD22">
        <v>0.16902300000000001</v>
      </c>
      <c r="AE22">
        <v>0.33679599999999998</v>
      </c>
      <c r="AF22">
        <v>0.68245299999999998</v>
      </c>
    </row>
    <row r="23" spans="1:32" x14ac:dyDescent="0.25">
      <c r="A23">
        <v>1.6915000000000001E-3</v>
      </c>
      <c r="B23">
        <v>1.188E-3</v>
      </c>
      <c r="C23">
        <v>1.2952E-3</v>
      </c>
      <c r="D23">
        <v>1.6765E-3</v>
      </c>
      <c r="E23">
        <v>1.6948E-3</v>
      </c>
      <c r="F23">
        <v>1.7903000000000001E-3</v>
      </c>
      <c r="G23">
        <v>2.1496000000000002E-3</v>
      </c>
      <c r="H23">
        <v>3.5853E-3</v>
      </c>
      <c r="I23">
        <v>5.7917999999999997E-3</v>
      </c>
      <c r="J23">
        <v>1.0028199999999999E-2</v>
      </c>
      <c r="K23">
        <v>1.8511400000000001E-2</v>
      </c>
      <c r="L23">
        <v>3.5226800000000003E-2</v>
      </c>
      <c r="M23">
        <v>6.8978999999999999E-2</v>
      </c>
      <c r="N23">
        <v>0.13628599999999999</v>
      </c>
      <c r="O23">
        <v>0.27232200000000001</v>
      </c>
      <c r="P23">
        <v>0.54346000000000005</v>
      </c>
      <c r="Q23">
        <v>9.0350000000000001E-4</v>
      </c>
      <c r="R23">
        <v>9.1940000000000001E-4</v>
      </c>
      <c r="S23">
        <v>1.2658999999999999E-3</v>
      </c>
      <c r="T23">
        <v>1.2538E-3</v>
      </c>
      <c r="U23">
        <v>1.4729999999999999E-3</v>
      </c>
      <c r="V23">
        <v>1.6754999999999999E-3</v>
      </c>
      <c r="W23">
        <v>2.5003999999999998E-3</v>
      </c>
      <c r="X23">
        <v>3.6549E-3</v>
      </c>
      <c r="Y23">
        <v>6.3937000000000004E-3</v>
      </c>
      <c r="Z23">
        <v>1.1518799999999999E-2</v>
      </c>
      <c r="AA23">
        <v>2.2072399999999999E-2</v>
      </c>
      <c r="AB23">
        <v>4.292E-2</v>
      </c>
      <c r="AC23">
        <v>8.46967E-2</v>
      </c>
      <c r="AD23">
        <v>0.16908100000000001</v>
      </c>
      <c r="AE23">
        <v>0.33677200000000002</v>
      </c>
      <c r="AF23">
        <v>0.68235199999999996</v>
      </c>
    </row>
    <row r="24" spans="1:32" x14ac:dyDescent="0.25">
      <c r="A24">
        <v>1.8707000000000001E-3</v>
      </c>
      <c r="B24">
        <v>1.2026000000000001E-3</v>
      </c>
      <c r="C24">
        <v>1.2897E-3</v>
      </c>
      <c r="D24">
        <v>1.7006E-3</v>
      </c>
      <c r="E24">
        <v>1.7561E-3</v>
      </c>
      <c r="F24">
        <v>1.7725E-3</v>
      </c>
      <c r="G24">
        <v>2.3119999999999998E-3</v>
      </c>
      <c r="H24">
        <v>3.4624999999999999E-3</v>
      </c>
      <c r="I24">
        <v>5.6125000000000003E-3</v>
      </c>
      <c r="J24">
        <v>9.9098999999999993E-3</v>
      </c>
      <c r="K24">
        <v>1.8259399999999999E-2</v>
      </c>
      <c r="L24">
        <v>3.5227599999999998E-2</v>
      </c>
      <c r="M24">
        <v>6.9204500000000002E-2</v>
      </c>
      <c r="N24">
        <v>0.13625100000000001</v>
      </c>
      <c r="O24">
        <v>0.27222099999999999</v>
      </c>
      <c r="P24">
        <v>0.54342199999999996</v>
      </c>
      <c r="Q24">
        <v>9.5120000000000003E-4</v>
      </c>
      <c r="R24">
        <v>9.0830000000000001E-4</v>
      </c>
      <c r="S24">
        <v>1.0512E-3</v>
      </c>
      <c r="T24">
        <v>1.3408000000000001E-3</v>
      </c>
      <c r="U24">
        <v>1.3902999999999999E-3</v>
      </c>
      <c r="V24">
        <v>1.6283999999999999E-3</v>
      </c>
      <c r="W24">
        <v>2.4183999999999998E-3</v>
      </c>
      <c r="X24">
        <v>3.7407999999999999E-3</v>
      </c>
      <c r="Y24">
        <v>6.3969999999999999E-3</v>
      </c>
      <c r="Z24">
        <v>1.1594200000000001E-2</v>
      </c>
      <c r="AA24">
        <v>2.1922199999999999E-2</v>
      </c>
      <c r="AB24">
        <v>4.2852700000000001E-2</v>
      </c>
      <c r="AC24">
        <v>8.4764300000000001E-2</v>
      </c>
      <c r="AD24">
        <v>0.169072</v>
      </c>
      <c r="AE24">
        <v>0.33699099999999999</v>
      </c>
      <c r="AF24">
        <v>0.68242499999999995</v>
      </c>
    </row>
    <row r="25" spans="1:32" x14ac:dyDescent="0.25">
      <c r="A25">
        <v>1.712E-3</v>
      </c>
      <c r="B25">
        <v>1.2855E-3</v>
      </c>
      <c r="C25">
        <v>1.3442E-3</v>
      </c>
      <c r="D25">
        <v>1.7842999999999999E-3</v>
      </c>
      <c r="E25">
        <v>1.5966999999999999E-3</v>
      </c>
      <c r="F25">
        <v>1.7508999999999999E-3</v>
      </c>
      <c r="G25">
        <v>2.1887E-3</v>
      </c>
      <c r="H25">
        <v>3.4305E-3</v>
      </c>
      <c r="I25">
        <v>5.4561999999999996E-3</v>
      </c>
      <c r="J25">
        <v>9.9939E-3</v>
      </c>
      <c r="K25">
        <v>1.8214500000000002E-2</v>
      </c>
      <c r="L25">
        <v>3.5179500000000002E-2</v>
      </c>
      <c r="M25">
        <v>6.9101599999999999E-2</v>
      </c>
      <c r="N25">
        <v>0.13644500000000001</v>
      </c>
      <c r="O25">
        <v>0.27224999999999999</v>
      </c>
      <c r="P25">
        <v>0.54345600000000005</v>
      </c>
      <c r="Q25">
        <v>9.2290000000000004E-4</v>
      </c>
      <c r="R25">
        <v>9.0939999999999999E-4</v>
      </c>
      <c r="S25">
        <v>9.4110000000000005E-4</v>
      </c>
      <c r="T25">
        <v>1.6079E-3</v>
      </c>
      <c r="U25">
        <v>1.3066E-3</v>
      </c>
      <c r="V25">
        <v>1.6285E-3</v>
      </c>
      <c r="W25">
        <v>2.3384999999999999E-3</v>
      </c>
      <c r="X25">
        <v>3.7195000000000001E-3</v>
      </c>
      <c r="Y25">
        <v>6.3102000000000002E-3</v>
      </c>
      <c r="Z25">
        <v>1.1508600000000001E-2</v>
      </c>
      <c r="AA25">
        <v>2.1973599999999999E-2</v>
      </c>
      <c r="AB25">
        <v>4.3033000000000002E-2</v>
      </c>
      <c r="AC25">
        <v>8.4716299999999994E-2</v>
      </c>
      <c r="AD25">
        <v>0.16905500000000001</v>
      </c>
      <c r="AE25">
        <v>0.33679700000000001</v>
      </c>
      <c r="AF25">
        <v>0.68243900000000002</v>
      </c>
    </row>
    <row r="26" spans="1:32" x14ac:dyDescent="0.25">
      <c r="A26">
        <v>1.848E-3</v>
      </c>
      <c r="B26">
        <v>1.2700000000000001E-3</v>
      </c>
      <c r="C26">
        <v>1.4326E-3</v>
      </c>
      <c r="D26">
        <v>1.7007999999999999E-3</v>
      </c>
      <c r="E26">
        <v>1.5359E-3</v>
      </c>
      <c r="F26">
        <v>1.7750000000000001E-3</v>
      </c>
      <c r="G26">
        <v>2.2334E-3</v>
      </c>
      <c r="H26">
        <v>3.6323000000000002E-3</v>
      </c>
      <c r="I26">
        <v>5.6562000000000001E-3</v>
      </c>
      <c r="J26">
        <v>9.9459000000000006E-3</v>
      </c>
      <c r="K26">
        <v>1.82194E-2</v>
      </c>
      <c r="L26">
        <v>3.5186000000000002E-2</v>
      </c>
      <c r="M26">
        <v>6.9085800000000003E-2</v>
      </c>
      <c r="N26">
        <v>0.136298</v>
      </c>
      <c r="O26">
        <v>0.27222400000000002</v>
      </c>
      <c r="P26">
        <v>0.54351400000000005</v>
      </c>
      <c r="Q26">
        <v>9.1529999999999997E-4</v>
      </c>
      <c r="R26">
        <v>9.7519999999999996E-4</v>
      </c>
      <c r="S26">
        <v>9.6739999999999999E-4</v>
      </c>
      <c r="T26">
        <v>1.1719E-3</v>
      </c>
      <c r="U26">
        <v>1.3420000000000001E-3</v>
      </c>
      <c r="V26">
        <v>1.7327E-3</v>
      </c>
      <c r="W26">
        <v>2.2986E-3</v>
      </c>
      <c r="X26">
        <v>3.7418999999999998E-3</v>
      </c>
      <c r="Y26">
        <v>6.3175999999999996E-3</v>
      </c>
      <c r="Z26">
        <v>1.15148E-2</v>
      </c>
      <c r="AA26">
        <v>2.19303E-2</v>
      </c>
      <c r="AB26">
        <v>4.2974600000000002E-2</v>
      </c>
      <c r="AC26">
        <v>8.4690100000000004E-2</v>
      </c>
      <c r="AD26">
        <v>0.168985</v>
      </c>
      <c r="AE26">
        <v>0.33665</v>
      </c>
      <c r="AF26">
        <v>0.68227499999999996</v>
      </c>
    </row>
    <row r="27" spans="1:32" x14ac:dyDescent="0.25">
      <c r="A27">
        <v>1.6429999999999999E-3</v>
      </c>
      <c r="B27">
        <v>1.2676E-3</v>
      </c>
      <c r="C27">
        <v>1.5299000000000001E-3</v>
      </c>
      <c r="D27">
        <v>1.6811E-3</v>
      </c>
      <c r="E27">
        <v>1.5694999999999999E-3</v>
      </c>
      <c r="F27">
        <v>1.7229999999999999E-3</v>
      </c>
      <c r="G27">
        <v>2.1503E-3</v>
      </c>
      <c r="H27">
        <v>3.6129999999999999E-3</v>
      </c>
      <c r="I27">
        <v>5.7386E-3</v>
      </c>
      <c r="J27">
        <v>9.9149000000000008E-3</v>
      </c>
      <c r="K27">
        <v>1.82224E-2</v>
      </c>
      <c r="L27">
        <v>3.4994999999999998E-2</v>
      </c>
      <c r="M27">
        <v>6.9064600000000004E-2</v>
      </c>
      <c r="N27">
        <v>0.13622300000000001</v>
      </c>
      <c r="O27">
        <v>0.272345</v>
      </c>
      <c r="P27">
        <v>0.54339999999999999</v>
      </c>
      <c r="Q27">
        <v>9.0519999999999999E-4</v>
      </c>
      <c r="R27">
        <v>1.0089000000000001E-3</v>
      </c>
      <c r="S27">
        <v>9.4019999999999998E-4</v>
      </c>
      <c r="T27">
        <v>1.134E-3</v>
      </c>
      <c r="U27">
        <v>1.2975E-3</v>
      </c>
      <c r="V27">
        <v>1.6314999999999999E-3</v>
      </c>
      <c r="W27">
        <v>2.3646000000000001E-3</v>
      </c>
      <c r="X27">
        <v>3.6652E-3</v>
      </c>
      <c r="Y27">
        <v>6.3493000000000004E-3</v>
      </c>
      <c r="Z27">
        <v>1.1432100000000001E-2</v>
      </c>
      <c r="AA27">
        <v>2.18882E-2</v>
      </c>
      <c r="AB27">
        <v>4.3007200000000002E-2</v>
      </c>
      <c r="AC27">
        <v>8.4641300000000003E-2</v>
      </c>
      <c r="AD27">
        <v>0.16905700000000001</v>
      </c>
      <c r="AE27">
        <v>0.33690700000000001</v>
      </c>
      <c r="AF27">
        <v>0.68255900000000003</v>
      </c>
    </row>
    <row r="28" spans="1:32" x14ac:dyDescent="0.25">
      <c r="A28">
        <v>1.6848E-3</v>
      </c>
      <c r="B28">
        <v>1.3707999999999999E-3</v>
      </c>
      <c r="C28">
        <v>1.3686E-3</v>
      </c>
      <c r="D28">
        <v>1.9299E-3</v>
      </c>
      <c r="E28">
        <v>1.5299999999999999E-3</v>
      </c>
      <c r="F28">
        <v>1.7455999999999999E-3</v>
      </c>
      <c r="G28">
        <v>2.3871999999999999E-3</v>
      </c>
      <c r="H28">
        <v>3.8100999999999999E-3</v>
      </c>
      <c r="I28">
        <v>5.7140999999999997E-3</v>
      </c>
      <c r="J28">
        <v>9.8978E-3</v>
      </c>
      <c r="K28">
        <v>1.8334300000000001E-2</v>
      </c>
      <c r="L28">
        <v>3.5086600000000003E-2</v>
      </c>
      <c r="M28">
        <v>6.8915100000000007E-2</v>
      </c>
      <c r="N28">
        <v>0.136215</v>
      </c>
      <c r="O28">
        <v>0.27229300000000001</v>
      </c>
      <c r="P28">
        <v>0.54339000000000004</v>
      </c>
      <c r="Q28">
        <v>9.4129999999999995E-4</v>
      </c>
      <c r="R28">
        <v>1.0122E-3</v>
      </c>
      <c r="S28">
        <v>9.3959999999999996E-4</v>
      </c>
      <c r="T28">
        <v>1.1781999999999999E-3</v>
      </c>
      <c r="U28">
        <v>1.4697E-3</v>
      </c>
      <c r="V28">
        <v>1.6628999999999999E-3</v>
      </c>
      <c r="W28">
        <v>2.7850000000000001E-3</v>
      </c>
      <c r="X28">
        <v>3.8695000000000001E-3</v>
      </c>
      <c r="Y28">
        <v>6.3112999999999997E-3</v>
      </c>
      <c r="Z28">
        <v>1.1606699999999999E-2</v>
      </c>
      <c r="AA28">
        <v>2.1986499999999999E-2</v>
      </c>
      <c r="AB28">
        <v>4.3068500000000003E-2</v>
      </c>
      <c r="AC28">
        <v>8.4687700000000005E-2</v>
      </c>
      <c r="AD28">
        <v>0.169068</v>
      </c>
      <c r="AE28">
        <v>0.33679599999999998</v>
      </c>
      <c r="AF28">
        <v>0.68229899999999999</v>
      </c>
    </row>
    <row r="29" spans="1:32" x14ac:dyDescent="0.25">
      <c r="A29">
        <v>1.5139999999999999E-3</v>
      </c>
      <c r="B29">
        <v>1.2834999999999999E-3</v>
      </c>
      <c r="C29">
        <v>1.2897E-3</v>
      </c>
      <c r="D29">
        <v>2.2872999999999999E-3</v>
      </c>
      <c r="E29">
        <v>1.5328E-3</v>
      </c>
      <c r="F29">
        <v>1.8476E-3</v>
      </c>
      <c r="G29">
        <v>2.4675000000000001E-3</v>
      </c>
      <c r="H29">
        <v>3.712E-3</v>
      </c>
      <c r="I29">
        <v>5.7397999999999998E-3</v>
      </c>
      <c r="J29">
        <v>9.9488000000000007E-3</v>
      </c>
      <c r="K29">
        <v>1.82212E-2</v>
      </c>
      <c r="L29">
        <v>3.5154699999999997E-2</v>
      </c>
      <c r="M29">
        <v>6.9019300000000006E-2</v>
      </c>
      <c r="N29">
        <v>0.136214</v>
      </c>
      <c r="O29">
        <v>0.27250999999999997</v>
      </c>
      <c r="P29">
        <v>0.54341899999999999</v>
      </c>
      <c r="Q29">
        <v>9.7790000000000008E-4</v>
      </c>
      <c r="R29">
        <v>1.0231000000000001E-3</v>
      </c>
      <c r="S29">
        <v>9.3840000000000004E-4</v>
      </c>
      <c r="T29">
        <v>1.1904000000000001E-3</v>
      </c>
      <c r="U29">
        <v>1.3550000000000001E-3</v>
      </c>
      <c r="V29">
        <v>1.761E-3</v>
      </c>
      <c r="W29">
        <v>2.3952000000000001E-3</v>
      </c>
      <c r="X29">
        <v>3.8054999999999999E-3</v>
      </c>
      <c r="Y29">
        <v>6.4165999999999997E-3</v>
      </c>
      <c r="Z29">
        <v>1.15777E-2</v>
      </c>
      <c r="AA29">
        <v>2.2028099999999998E-2</v>
      </c>
      <c r="AB29">
        <v>4.3029299999999999E-2</v>
      </c>
      <c r="AC29">
        <v>8.4657999999999997E-2</v>
      </c>
      <c r="AD29">
        <v>0.16883600000000001</v>
      </c>
      <c r="AE29">
        <v>0.33658199999999999</v>
      </c>
      <c r="AF29">
        <v>0.682477</v>
      </c>
    </row>
    <row r="30" spans="1:32" x14ac:dyDescent="0.25">
      <c r="A30">
        <v>1.5208999999999999E-3</v>
      </c>
      <c r="B30">
        <v>1.3418E-3</v>
      </c>
      <c r="C30">
        <v>1.3288E-3</v>
      </c>
      <c r="D30">
        <v>2.1946000000000001E-3</v>
      </c>
      <c r="E30">
        <v>1.5275E-3</v>
      </c>
      <c r="F30">
        <v>1.8904E-3</v>
      </c>
      <c r="G30">
        <v>2.4851999999999999E-3</v>
      </c>
      <c r="H30">
        <v>3.5753E-3</v>
      </c>
      <c r="I30">
        <v>5.7070000000000003E-3</v>
      </c>
      <c r="J30">
        <v>1.0119100000000001E-2</v>
      </c>
      <c r="K30">
        <v>1.8410099999999999E-2</v>
      </c>
      <c r="L30">
        <v>3.5166799999999998E-2</v>
      </c>
      <c r="M30">
        <v>6.8948099999999998E-2</v>
      </c>
      <c r="N30">
        <v>0.13628699999999999</v>
      </c>
      <c r="O30">
        <v>0.27220800000000001</v>
      </c>
      <c r="P30">
        <v>0.54344099999999995</v>
      </c>
      <c r="Q30">
        <v>9.5049999999999996E-4</v>
      </c>
      <c r="R30">
        <v>9.4660000000000002E-4</v>
      </c>
      <c r="S30">
        <v>9.6770000000000005E-4</v>
      </c>
      <c r="T30">
        <v>1.1318999999999999E-3</v>
      </c>
      <c r="U30">
        <v>1.3397999999999999E-3</v>
      </c>
      <c r="V30">
        <v>1.6429999999999999E-3</v>
      </c>
      <c r="W30">
        <v>2.3462000000000001E-3</v>
      </c>
      <c r="X30">
        <v>3.7050999999999998E-3</v>
      </c>
      <c r="Y30">
        <v>6.3715999999999998E-3</v>
      </c>
      <c r="Z30">
        <v>1.14547E-2</v>
      </c>
      <c r="AA30">
        <v>2.1887400000000001E-2</v>
      </c>
      <c r="AB30">
        <v>4.3100800000000002E-2</v>
      </c>
      <c r="AC30">
        <v>8.4598699999999999E-2</v>
      </c>
      <c r="AD30">
        <v>0.16903799999999999</v>
      </c>
      <c r="AE30">
        <v>0.33666699999999999</v>
      </c>
      <c r="AF30">
        <v>0.68232400000000004</v>
      </c>
    </row>
    <row r="31" spans="1:32" x14ac:dyDescent="0.25">
      <c r="A31">
        <v>1.4464E-3</v>
      </c>
      <c r="B31">
        <v>1.3124E-3</v>
      </c>
      <c r="C31">
        <v>1.2813E-3</v>
      </c>
      <c r="D31">
        <v>2.3484000000000001E-3</v>
      </c>
      <c r="E31">
        <v>1.5116999999999999E-3</v>
      </c>
      <c r="F31">
        <v>1.9634000000000001E-3</v>
      </c>
      <c r="G31">
        <v>2.5163E-3</v>
      </c>
      <c r="H31">
        <v>3.7382000000000001E-3</v>
      </c>
      <c r="I31">
        <v>5.7794999999999999E-3</v>
      </c>
      <c r="J31">
        <v>1.01306E-2</v>
      </c>
      <c r="K31">
        <v>1.8258199999999999E-2</v>
      </c>
      <c r="L31">
        <v>3.5169300000000001E-2</v>
      </c>
      <c r="M31">
        <v>6.9106699999999993E-2</v>
      </c>
      <c r="N31">
        <v>0.136356</v>
      </c>
      <c r="O31">
        <v>0.272449</v>
      </c>
      <c r="P31">
        <v>0.54347299999999998</v>
      </c>
      <c r="Q31">
        <v>9.4589999999999995E-4</v>
      </c>
      <c r="R31">
        <v>9.4799999999999995E-4</v>
      </c>
      <c r="S31">
        <v>1.0036000000000001E-3</v>
      </c>
      <c r="T31">
        <v>1.1482E-3</v>
      </c>
      <c r="U31">
        <v>1.3324999999999999E-3</v>
      </c>
      <c r="V31">
        <v>1.6490999999999999E-3</v>
      </c>
      <c r="W31">
        <v>2.2788000000000001E-3</v>
      </c>
      <c r="X31">
        <v>3.7559999999999998E-3</v>
      </c>
      <c r="Y31">
        <v>6.3905000000000003E-3</v>
      </c>
      <c r="Z31">
        <v>1.1396999999999999E-2</v>
      </c>
      <c r="AA31">
        <v>2.2039599999999999E-2</v>
      </c>
      <c r="AB31">
        <v>4.3029400000000002E-2</v>
      </c>
      <c r="AC31">
        <v>8.4721099999999994E-2</v>
      </c>
      <c r="AD31">
        <v>0.16899</v>
      </c>
      <c r="AE31">
        <v>0.33674599999999999</v>
      </c>
      <c r="AF31">
        <v>0.68221500000000002</v>
      </c>
    </row>
    <row r="32" spans="1:32" x14ac:dyDescent="0.25">
      <c r="A32">
        <v>1.3604999999999999E-3</v>
      </c>
      <c r="B32">
        <v>1.3366999999999999E-3</v>
      </c>
      <c r="C32">
        <v>1.2765999999999999E-3</v>
      </c>
      <c r="D32">
        <v>1.8952999999999999E-3</v>
      </c>
      <c r="E32">
        <v>1.6035000000000001E-3</v>
      </c>
      <c r="F32">
        <v>2.0514999999999999E-3</v>
      </c>
      <c r="G32">
        <v>2.3730999999999999E-3</v>
      </c>
      <c r="H32">
        <v>3.7201000000000001E-3</v>
      </c>
      <c r="I32">
        <v>5.6863E-3</v>
      </c>
      <c r="J32">
        <v>1.00225E-2</v>
      </c>
      <c r="K32">
        <v>1.8461399999999999E-2</v>
      </c>
      <c r="L32">
        <v>3.5013000000000002E-2</v>
      </c>
      <c r="M32">
        <v>6.9072099999999997E-2</v>
      </c>
      <c r="N32">
        <v>0.13625499999999999</v>
      </c>
      <c r="O32">
        <v>0.27243400000000001</v>
      </c>
      <c r="P32">
        <v>0.54374199999999995</v>
      </c>
      <c r="Q32">
        <v>9.1489999999999996E-4</v>
      </c>
      <c r="R32">
        <v>9.4229999999999997E-4</v>
      </c>
      <c r="S32">
        <v>9.5600000000000004E-4</v>
      </c>
      <c r="T32">
        <v>1.2611E-3</v>
      </c>
      <c r="U32">
        <v>1.3657000000000001E-3</v>
      </c>
      <c r="V32">
        <v>1.6251E-3</v>
      </c>
      <c r="W32">
        <v>2.4488000000000001E-3</v>
      </c>
      <c r="X32">
        <v>3.6947999999999998E-3</v>
      </c>
      <c r="Y32">
        <v>1.37068E-2</v>
      </c>
      <c r="Z32">
        <v>1.1585700000000001E-2</v>
      </c>
      <c r="AA32">
        <v>2.19092E-2</v>
      </c>
      <c r="AB32">
        <v>4.3043999999999999E-2</v>
      </c>
      <c r="AC32">
        <v>8.4668499999999994E-2</v>
      </c>
      <c r="AD32">
        <v>0.169072</v>
      </c>
      <c r="AE32">
        <v>0.336951</v>
      </c>
      <c r="AF32">
        <v>0.68217099999999997</v>
      </c>
    </row>
    <row r="33" spans="1:32" x14ac:dyDescent="0.25">
      <c r="A33">
        <v>1.3408000000000001E-3</v>
      </c>
      <c r="B33">
        <v>1.5019E-3</v>
      </c>
      <c r="C33">
        <v>1.2834000000000001E-3</v>
      </c>
      <c r="D33">
        <v>1.5995E-3</v>
      </c>
      <c r="E33">
        <v>1.738E-3</v>
      </c>
      <c r="F33">
        <v>1.8702E-3</v>
      </c>
      <c r="G33">
        <v>2.3681000000000002E-3</v>
      </c>
      <c r="H33">
        <v>3.5944000000000002E-3</v>
      </c>
      <c r="I33">
        <v>5.6179999999999997E-3</v>
      </c>
      <c r="J33">
        <v>9.9552000000000009E-3</v>
      </c>
      <c r="K33">
        <v>1.8265E-2</v>
      </c>
      <c r="L33">
        <v>3.50713E-2</v>
      </c>
      <c r="M33">
        <v>6.9048899999999996E-2</v>
      </c>
      <c r="N33">
        <v>0.136298</v>
      </c>
      <c r="O33">
        <v>0.272561</v>
      </c>
      <c r="P33">
        <v>0.54346799999999995</v>
      </c>
      <c r="Q33">
        <v>9.1989999999999997E-4</v>
      </c>
      <c r="R33">
        <v>9.1569999999999998E-4</v>
      </c>
      <c r="S33">
        <v>9.6250000000000003E-4</v>
      </c>
      <c r="T33">
        <v>1.1521000000000001E-3</v>
      </c>
      <c r="U33">
        <v>1.304E-3</v>
      </c>
      <c r="V33">
        <v>1.6164E-3</v>
      </c>
      <c r="W33">
        <v>2.4903E-3</v>
      </c>
      <c r="X33">
        <v>3.7282000000000001E-3</v>
      </c>
      <c r="Y33">
        <v>6.4016999999999998E-3</v>
      </c>
      <c r="Z33">
        <v>1.14959E-2</v>
      </c>
      <c r="AA33">
        <v>2.1971299999999999E-2</v>
      </c>
      <c r="AB33">
        <v>4.30935E-2</v>
      </c>
      <c r="AC33">
        <v>8.4670499999999996E-2</v>
      </c>
      <c r="AD33">
        <v>0.168987</v>
      </c>
      <c r="AE33">
        <v>0.33680199999999999</v>
      </c>
      <c r="AF33">
        <v>0.68224399999999996</v>
      </c>
    </row>
    <row r="34" spans="1:32" x14ac:dyDescent="0.25">
      <c r="A34">
        <v>1.2871E-3</v>
      </c>
      <c r="B34">
        <v>1.4802999999999999E-3</v>
      </c>
      <c r="C34">
        <v>1.2803000000000001E-3</v>
      </c>
      <c r="D34">
        <v>1.5847999999999999E-3</v>
      </c>
      <c r="E34">
        <v>1.5510000000000001E-3</v>
      </c>
      <c r="F34">
        <v>2.2472E-3</v>
      </c>
      <c r="G34">
        <v>2.2856E-3</v>
      </c>
      <c r="H34">
        <v>3.5934000000000001E-3</v>
      </c>
      <c r="I34">
        <v>5.6740000000000002E-3</v>
      </c>
      <c r="J34">
        <v>9.9383000000000006E-3</v>
      </c>
      <c r="K34">
        <v>1.8478899999999999E-2</v>
      </c>
      <c r="L34">
        <v>3.4981600000000002E-2</v>
      </c>
      <c r="M34">
        <v>6.9097500000000006E-2</v>
      </c>
      <c r="N34">
        <v>0.136263</v>
      </c>
      <c r="O34">
        <v>0.272922</v>
      </c>
      <c r="P34">
        <v>0.54341200000000001</v>
      </c>
      <c r="Q34">
        <v>9.2179999999999996E-4</v>
      </c>
      <c r="R34">
        <v>9.2949999999999999E-4</v>
      </c>
      <c r="S34">
        <v>9.7059999999999996E-4</v>
      </c>
      <c r="T34">
        <v>1.1295999999999999E-3</v>
      </c>
      <c r="U34">
        <v>1.3194000000000001E-3</v>
      </c>
      <c r="V34">
        <v>1.5425E-3</v>
      </c>
      <c r="W34">
        <v>2.3586000000000002E-3</v>
      </c>
      <c r="X34">
        <v>3.722E-3</v>
      </c>
      <c r="Y34">
        <v>6.3813000000000003E-3</v>
      </c>
      <c r="Z34">
        <v>1.14495E-2</v>
      </c>
      <c r="AA34">
        <v>2.1964600000000001E-2</v>
      </c>
      <c r="AB34">
        <v>4.3159599999999999E-2</v>
      </c>
      <c r="AC34">
        <v>8.4542699999999998E-2</v>
      </c>
      <c r="AD34">
        <v>0.168901</v>
      </c>
      <c r="AE34">
        <v>0.33654000000000001</v>
      </c>
      <c r="AF34">
        <v>0.68215099999999995</v>
      </c>
    </row>
    <row r="35" spans="1:32" x14ac:dyDescent="0.25">
      <c r="A35">
        <v>1.2957000000000001E-3</v>
      </c>
      <c r="B35">
        <v>1.3188E-3</v>
      </c>
      <c r="C35">
        <v>1.2653E-3</v>
      </c>
      <c r="D35">
        <v>1.7164999999999999E-3</v>
      </c>
      <c r="E35">
        <v>1.5398E-3</v>
      </c>
      <c r="F35">
        <v>2.1716000000000001E-3</v>
      </c>
      <c r="G35">
        <v>2.2764E-3</v>
      </c>
      <c r="H35">
        <v>3.6064999999999999E-3</v>
      </c>
      <c r="I35">
        <v>5.6543000000000001E-3</v>
      </c>
      <c r="J35">
        <v>9.9007000000000001E-3</v>
      </c>
      <c r="K35">
        <v>1.8153300000000001E-2</v>
      </c>
      <c r="L35">
        <v>3.5112400000000002E-2</v>
      </c>
      <c r="M35">
        <v>6.89414E-2</v>
      </c>
      <c r="N35">
        <v>0.136271</v>
      </c>
      <c r="O35">
        <v>0.27276299999999998</v>
      </c>
      <c r="P35">
        <v>0.54330900000000004</v>
      </c>
      <c r="Q35">
        <v>9.0470000000000004E-4</v>
      </c>
      <c r="R35">
        <v>1.1666999999999999E-3</v>
      </c>
      <c r="S35">
        <v>9.6719999999999998E-4</v>
      </c>
      <c r="T35">
        <v>1.1858000000000001E-3</v>
      </c>
      <c r="U35">
        <v>1.3208E-3</v>
      </c>
      <c r="V35">
        <v>1.5943000000000001E-3</v>
      </c>
      <c r="W35">
        <v>2.2978E-3</v>
      </c>
      <c r="X35">
        <v>3.7337E-3</v>
      </c>
      <c r="Y35">
        <v>6.3394000000000002E-3</v>
      </c>
      <c r="Z35">
        <v>1.1750200000000001E-2</v>
      </c>
      <c r="AA35">
        <v>2.18789E-2</v>
      </c>
      <c r="AB35">
        <v>4.3046599999999997E-2</v>
      </c>
      <c r="AC35">
        <v>8.4544499999999995E-2</v>
      </c>
      <c r="AD35">
        <v>0.16899500000000001</v>
      </c>
      <c r="AE35">
        <v>0.33669900000000003</v>
      </c>
      <c r="AF35">
        <v>0.682257</v>
      </c>
    </row>
    <row r="36" spans="1:32" x14ac:dyDescent="0.25">
      <c r="A36">
        <v>1.4446999999999999E-3</v>
      </c>
      <c r="B36">
        <v>1.2516999999999999E-3</v>
      </c>
      <c r="C36">
        <v>1.2888000000000001E-3</v>
      </c>
      <c r="D36">
        <v>1.9536000000000002E-3</v>
      </c>
      <c r="E36">
        <v>1.5582E-3</v>
      </c>
      <c r="F36">
        <v>2.0674999999999999E-3</v>
      </c>
      <c r="G36">
        <v>2.3146E-3</v>
      </c>
      <c r="H36">
        <v>3.4570999999999998E-3</v>
      </c>
      <c r="I36">
        <v>5.7012E-3</v>
      </c>
      <c r="J36">
        <v>1.0069099999999999E-2</v>
      </c>
      <c r="K36">
        <v>1.8274700000000001E-2</v>
      </c>
      <c r="L36">
        <v>3.52518E-2</v>
      </c>
      <c r="M36">
        <v>6.9239499999999995E-2</v>
      </c>
      <c r="N36">
        <v>0.13636899999999999</v>
      </c>
      <c r="O36">
        <v>0.272818</v>
      </c>
      <c r="P36">
        <v>0.54363499999999998</v>
      </c>
      <c r="Q36">
        <v>9.2310000000000005E-4</v>
      </c>
      <c r="R36">
        <v>1.0453999999999999E-3</v>
      </c>
      <c r="S36">
        <v>9.5319999999999997E-4</v>
      </c>
      <c r="T36">
        <v>1.4371E-3</v>
      </c>
      <c r="U36">
        <v>1.3538999999999999E-3</v>
      </c>
      <c r="V36">
        <v>1.6161000000000001E-3</v>
      </c>
      <c r="W36">
        <v>2.2583999999999998E-3</v>
      </c>
      <c r="X36">
        <v>3.8208000000000001E-3</v>
      </c>
      <c r="Y36">
        <v>6.3669E-3</v>
      </c>
      <c r="Z36">
        <v>1.15867E-2</v>
      </c>
      <c r="AA36">
        <v>2.2014800000000001E-2</v>
      </c>
      <c r="AB36">
        <v>4.2933800000000001E-2</v>
      </c>
      <c r="AC36">
        <v>8.4574700000000003E-2</v>
      </c>
      <c r="AD36">
        <v>0.16899500000000001</v>
      </c>
      <c r="AE36">
        <v>0.33680199999999999</v>
      </c>
      <c r="AF36">
        <v>0.682087</v>
      </c>
    </row>
    <row r="37" spans="1:32" x14ac:dyDescent="0.25">
      <c r="A37">
        <v>1.6199000000000001E-3</v>
      </c>
      <c r="B37">
        <v>1.2538E-3</v>
      </c>
      <c r="C37">
        <v>1.3378000000000001E-3</v>
      </c>
      <c r="D37">
        <v>1.6957999999999999E-3</v>
      </c>
      <c r="E37">
        <v>1.5129E-3</v>
      </c>
      <c r="F37">
        <v>1.7485999999999999E-3</v>
      </c>
      <c r="G37">
        <v>2.3368999999999998E-3</v>
      </c>
      <c r="H37">
        <v>3.3977E-3</v>
      </c>
      <c r="I37">
        <v>5.7499999999999999E-3</v>
      </c>
      <c r="J37">
        <v>9.8781000000000008E-3</v>
      </c>
      <c r="K37">
        <v>1.8259899999999999E-2</v>
      </c>
      <c r="L37">
        <v>3.5166000000000003E-2</v>
      </c>
      <c r="M37">
        <v>6.9053600000000007E-2</v>
      </c>
      <c r="N37">
        <v>0.136327</v>
      </c>
      <c r="O37">
        <v>0.27274100000000001</v>
      </c>
      <c r="P37">
        <v>0.54342999999999997</v>
      </c>
      <c r="Q37">
        <v>9.1390000000000004E-4</v>
      </c>
      <c r="R37">
        <v>1.0357999999999999E-3</v>
      </c>
      <c r="S37">
        <v>9.6719999999999998E-4</v>
      </c>
      <c r="T37">
        <v>1.2221000000000001E-3</v>
      </c>
      <c r="U37">
        <v>1.418E-3</v>
      </c>
      <c r="V37">
        <v>1.6035000000000001E-3</v>
      </c>
      <c r="W37">
        <v>2.3739E-3</v>
      </c>
      <c r="X37">
        <v>3.7263000000000001E-3</v>
      </c>
      <c r="Y37">
        <v>6.4218000000000001E-3</v>
      </c>
      <c r="Z37">
        <v>1.14988E-2</v>
      </c>
      <c r="AA37">
        <v>2.18964E-2</v>
      </c>
      <c r="AB37">
        <v>4.2891400000000003E-2</v>
      </c>
      <c r="AC37">
        <v>8.4545999999999996E-2</v>
      </c>
      <c r="AD37">
        <v>0.16911899999999999</v>
      </c>
      <c r="AE37">
        <v>0.33679900000000002</v>
      </c>
      <c r="AF37">
        <v>0.68223500000000004</v>
      </c>
    </row>
    <row r="38" spans="1:32" x14ac:dyDescent="0.25">
      <c r="A38">
        <v>1.4048000000000001E-3</v>
      </c>
      <c r="B38">
        <v>1.2891999999999999E-3</v>
      </c>
      <c r="C38">
        <v>1.3485000000000001E-3</v>
      </c>
      <c r="D38">
        <v>1.6539E-3</v>
      </c>
      <c r="E38">
        <v>1.5409E-3</v>
      </c>
      <c r="F38">
        <v>1.8281E-3</v>
      </c>
      <c r="G38">
        <v>2.2994999999999999E-3</v>
      </c>
      <c r="H38">
        <v>3.3795000000000001E-3</v>
      </c>
      <c r="I38">
        <v>5.6635000000000001E-3</v>
      </c>
      <c r="J38">
        <v>1.00249E-2</v>
      </c>
      <c r="K38">
        <v>1.83883E-2</v>
      </c>
      <c r="L38">
        <v>3.5134800000000001E-2</v>
      </c>
      <c r="M38">
        <v>6.9161600000000004E-2</v>
      </c>
      <c r="N38">
        <v>0.13636799999999999</v>
      </c>
      <c r="O38">
        <v>0.27260000000000001</v>
      </c>
      <c r="P38">
        <v>0.54335500000000003</v>
      </c>
      <c r="Q38">
        <v>9.1410000000000005E-4</v>
      </c>
      <c r="R38">
        <v>1.2490999999999999E-3</v>
      </c>
      <c r="S38">
        <v>1.1111000000000001E-3</v>
      </c>
      <c r="T38">
        <v>1.4413E-3</v>
      </c>
      <c r="U38">
        <v>1.3282000000000001E-3</v>
      </c>
      <c r="V38">
        <v>1.5731E-3</v>
      </c>
      <c r="W38">
        <v>2.4496000000000001E-3</v>
      </c>
      <c r="X38">
        <v>3.7001E-3</v>
      </c>
      <c r="Y38">
        <v>6.4384000000000004E-3</v>
      </c>
      <c r="Z38">
        <v>1.15703E-2</v>
      </c>
      <c r="AA38">
        <v>2.19215E-2</v>
      </c>
      <c r="AB38">
        <v>4.2985099999999998E-2</v>
      </c>
      <c r="AC38">
        <v>8.4566100000000005E-2</v>
      </c>
      <c r="AD38">
        <v>0.16909399999999999</v>
      </c>
      <c r="AE38">
        <v>0.336893</v>
      </c>
      <c r="AF38">
        <v>0.68215099999999995</v>
      </c>
    </row>
    <row r="39" spans="1:32" x14ac:dyDescent="0.25">
      <c r="A39">
        <v>1.5288000000000001E-3</v>
      </c>
      <c r="B39">
        <v>1.3037000000000001E-3</v>
      </c>
      <c r="C39">
        <v>1.2748E-3</v>
      </c>
      <c r="D39">
        <v>1.6712000000000001E-3</v>
      </c>
      <c r="E39">
        <v>1.5326999999999999E-3</v>
      </c>
      <c r="F39">
        <v>2.1524999999999999E-3</v>
      </c>
      <c r="G39">
        <v>2.1952999999999999E-3</v>
      </c>
      <c r="H39">
        <v>3.4599000000000001E-3</v>
      </c>
      <c r="I39">
        <v>5.6414000000000004E-3</v>
      </c>
      <c r="J39">
        <v>9.9016999999999994E-3</v>
      </c>
      <c r="K39">
        <v>1.8302499999999999E-2</v>
      </c>
      <c r="L39">
        <v>3.5104499999999997E-2</v>
      </c>
      <c r="M39">
        <v>6.8982100000000005E-2</v>
      </c>
      <c r="N39">
        <v>0.13642000000000001</v>
      </c>
      <c r="O39">
        <v>0.27269500000000002</v>
      </c>
      <c r="P39">
        <v>0.54326799999999997</v>
      </c>
      <c r="Q39">
        <v>8.9349999999999998E-4</v>
      </c>
      <c r="R39">
        <v>1.042E-3</v>
      </c>
      <c r="S39">
        <v>1.0962000000000001E-3</v>
      </c>
      <c r="T39">
        <v>1.2826999999999999E-3</v>
      </c>
      <c r="U39">
        <v>1.4164E-3</v>
      </c>
      <c r="V39">
        <v>1.6245000000000001E-3</v>
      </c>
      <c r="W39">
        <v>2.3186999999999999E-3</v>
      </c>
      <c r="X39">
        <v>3.6795999999999999E-3</v>
      </c>
      <c r="Y39">
        <v>6.3409E-3</v>
      </c>
      <c r="Z39">
        <v>1.15336E-2</v>
      </c>
      <c r="AA39">
        <v>2.1939500000000001E-2</v>
      </c>
      <c r="AB39">
        <v>4.2854400000000001E-2</v>
      </c>
      <c r="AC39">
        <v>8.4496299999999996E-2</v>
      </c>
      <c r="AD39">
        <v>0.16899800000000001</v>
      </c>
      <c r="AE39">
        <v>0.33692800000000001</v>
      </c>
      <c r="AF39">
        <v>0.68210899999999997</v>
      </c>
    </row>
    <row r="40" spans="1:32" x14ac:dyDescent="0.25">
      <c r="A40">
        <v>1.2745E-3</v>
      </c>
      <c r="B40">
        <v>1.2807000000000001E-3</v>
      </c>
      <c r="C40">
        <v>1.2953999999999999E-3</v>
      </c>
      <c r="D40">
        <v>1.5074999999999999E-3</v>
      </c>
      <c r="E40">
        <v>1.5291E-3</v>
      </c>
      <c r="F40">
        <v>1.8335000000000001E-3</v>
      </c>
      <c r="G40">
        <v>2.3067000000000001E-3</v>
      </c>
      <c r="H40">
        <v>3.4564999999999999E-3</v>
      </c>
      <c r="I40">
        <v>5.7488000000000001E-3</v>
      </c>
      <c r="J40">
        <v>9.9190000000000007E-3</v>
      </c>
      <c r="K40">
        <v>1.8325500000000002E-2</v>
      </c>
      <c r="L40">
        <v>3.5034099999999999E-2</v>
      </c>
      <c r="M40">
        <v>6.9137299999999999E-2</v>
      </c>
      <c r="N40">
        <v>0.136467</v>
      </c>
      <c r="O40">
        <v>0.27263700000000002</v>
      </c>
      <c r="P40">
        <v>0.54348300000000005</v>
      </c>
      <c r="Q40">
        <v>9.0700000000000004E-4</v>
      </c>
      <c r="R40">
        <v>9.5069999999999996E-4</v>
      </c>
      <c r="S40">
        <v>1.0355E-3</v>
      </c>
      <c r="T40">
        <v>1.58E-3</v>
      </c>
      <c r="U40">
        <v>1.3429E-3</v>
      </c>
      <c r="V40">
        <v>1.6014E-3</v>
      </c>
      <c r="W40">
        <v>2.3652999999999999E-3</v>
      </c>
      <c r="X40">
        <v>3.7680999999999999E-3</v>
      </c>
      <c r="Y40">
        <v>6.4422000000000004E-3</v>
      </c>
      <c r="Z40">
        <v>1.1483800000000001E-2</v>
      </c>
      <c r="AA40">
        <v>2.2045100000000002E-2</v>
      </c>
      <c r="AB40">
        <v>4.3100300000000001E-2</v>
      </c>
      <c r="AC40">
        <v>8.4611800000000001E-2</v>
      </c>
      <c r="AD40">
        <v>0.16898299999999999</v>
      </c>
      <c r="AE40">
        <v>0.33685900000000002</v>
      </c>
      <c r="AF40">
        <v>0.68236399999999997</v>
      </c>
    </row>
    <row r="41" spans="1:32" x14ac:dyDescent="0.25">
      <c r="A41">
        <v>1.407E-3</v>
      </c>
      <c r="B41">
        <v>1.3108E-3</v>
      </c>
      <c r="C41">
        <v>1.3188E-3</v>
      </c>
      <c r="D41">
        <v>1.4698999999999999E-3</v>
      </c>
      <c r="E41">
        <v>1.5364E-3</v>
      </c>
      <c r="F41">
        <v>1.9078000000000001E-3</v>
      </c>
      <c r="G41">
        <v>2.3771E-3</v>
      </c>
      <c r="H41">
        <v>3.6189E-3</v>
      </c>
      <c r="I41">
        <v>5.7907000000000002E-3</v>
      </c>
      <c r="J41">
        <v>1.0112299999999999E-2</v>
      </c>
      <c r="K41">
        <v>1.8255299999999999E-2</v>
      </c>
      <c r="L41">
        <v>3.5101100000000003E-2</v>
      </c>
      <c r="M41">
        <v>6.9156499999999996E-2</v>
      </c>
      <c r="N41">
        <v>0.13633000000000001</v>
      </c>
      <c r="O41">
        <v>0.27268599999999998</v>
      </c>
      <c r="P41">
        <v>0.54331200000000002</v>
      </c>
      <c r="Q41">
        <v>9.1750000000000002E-4</v>
      </c>
      <c r="R41">
        <v>1.0651E-3</v>
      </c>
      <c r="S41">
        <v>1.0774000000000001E-3</v>
      </c>
      <c r="T41">
        <v>1.2478000000000001E-3</v>
      </c>
      <c r="U41">
        <v>1.3416000000000001E-3</v>
      </c>
      <c r="V41">
        <v>1.5790000000000001E-3</v>
      </c>
      <c r="W41">
        <v>2.3636E-3</v>
      </c>
      <c r="X41">
        <v>3.7739000000000002E-3</v>
      </c>
      <c r="Y41">
        <v>6.4374999999999996E-3</v>
      </c>
      <c r="Z41">
        <v>1.15461E-2</v>
      </c>
      <c r="AA41">
        <v>2.2087599999999999E-2</v>
      </c>
      <c r="AB41">
        <v>4.2903799999999999E-2</v>
      </c>
      <c r="AC41">
        <v>8.4677500000000003E-2</v>
      </c>
      <c r="AD41">
        <v>0.16896800000000001</v>
      </c>
      <c r="AE41">
        <v>0.33682400000000001</v>
      </c>
      <c r="AF41">
        <v>0.68223199999999995</v>
      </c>
    </row>
    <row r="42" spans="1:32" x14ac:dyDescent="0.25">
      <c r="A42">
        <v>1.6341000000000001E-3</v>
      </c>
      <c r="B42">
        <v>1.3607000000000001E-3</v>
      </c>
      <c r="C42">
        <v>1.3523999999999999E-3</v>
      </c>
      <c r="D42">
        <v>1.7053999999999999E-3</v>
      </c>
      <c r="E42">
        <v>1.5623E-3</v>
      </c>
      <c r="F42">
        <v>1.993E-3</v>
      </c>
      <c r="G42">
        <v>2.4440999999999998E-3</v>
      </c>
      <c r="H42">
        <v>3.5628999999999999E-3</v>
      </c>
      <c r="I42">
        <v>5.7124000000000003E-3</v>
      </c>
      <c r="J42">
        <v>9.9247999999999992E-3</v>
      </c>
      <c r="K42">
        <v>1.8418500000000001E-2</v>
      </c>
      <c r="L42">
        <v>3.5013599999999999E-2</v>
      </c>
      <c r="M42">
        <v>6.8960199999999999E-2</v>
      </c>
      <c r="N42">
        <v>0.13628999999999999</v>
      </c>
      <c r="O42">
        <v>0.272644</v>
      </c>
      <c r="P42">
        <v>0.54318500000000003</v>
      </c>
      <c r="Q42">
        <v>9.2809999999999995E-4</v>
      </c>
      <c r="R42">
        <v>1.0966000000000001E-3</v>
      </c>
      <c r="S42">
        <v>1.026E-3</v>
      </c>
      <c r="T42">
        <v>1.4073E-3</v>
      </c>
      <c r="U42">
        <v>1.2926999999999999E-3</v>
      </c>
      <c r="V42">
        <v>1.5911E-3</v>
      </c>
      <c r="W42">
        <v>2.3424000000000001E-3</v>
      </c>
      <c r="X42">
        <v>3.8005999999999999E-3</v>
      </c>
      <c r="Y42">
        <v>6.4929000000000002E-3</v>
      </c>
      <c r="Z42">
        <v>1.1546900000000001E-2</v>
      </c>
      <c r="AA42">
        <v>2.2037399999999999E-2</v>
      </c>
      <c r="AB42">
        <v>4.2854000000000003E-2</v>
      </c>
      <c r="AC42">
        <v>8.4628599999999998E-2</v>
      </c>
      <c r="AD42">
        <v>0.16908999999999999</v>
      </c>
      <c r="AE42">
        <v>0.33683400000000002</v>
      </c>
      <c r="AF42">
        <v>0.68208999999999997</v>
      </c>
    </row>
    <row r="43" spans="1:32" x14ac:dyDescent="0.25">
      <c r="A43">
        <v>1.5828000000000001E-3</v>
      </c>
      <c r="B43">
        <v>1.2733E-3</v>
      </c>
      <c r="C43">
        <v>1.4067000000000001E-3</v>
      </c>
      <c r="D43">
        <v>1.6145E-3</v>
      </c>
      <c r="E43">
        <v>1.7505999999999999E-3</v>
      </c>
      <c r="F43">
        <v>1.9367E-3</v>
      </c>
      <c r="G43">
        <v>2.3105999999999999E-3</v>
      </c>
      <c r="H43">
        <v>3.5398000000000001E-3</v>
      </c>
      <c r="I43">
        <v>5.6959999999999997E-3</v>
      </c>
      <c r="J43">
        <v>9.9740000000000002E-3</v>
      </c>
      <c r="K43">
        <v>1.8363000000000001E-2</v>
      </c>
      <c r="L43">
        <v>3.53259E-2</v>
      </c>
      <c r="M43">
        <v>6.9008700000000006E-2</v>
      </c>
      <c r="N43">
        <v>0.13631599999999999</v>
      </c>
      <c r="O43">
        <v>0.27268300000000001</v>
      </c>
      <c r="P43">
        <v>0.54324099999999997</v>
      </c>
      <c r="Q43">
        <v>9.2190000000000002E-4</v>
      </c>
      <c r="R43">
        <v>1.2063E-3</v>
      </c>
      <c r="S43">
        <v>1.0322E-3</v>
      </c>
      <c r="T43">
        <v>1.5152E-3</v>
      </c>
      <c r="U43">
        <v>1.4073E-3</v>
      </c>
      <c r="V43">
        <v>1.5843000000000001E-3</v>
      </c>
      <c r="W43">
        <v>2.2691999999999999E-3</v>
      </c>
      <c r="X43">
        <v>3.7009999999999999E-3</v>
      </c>
      <c r="Y43">
        <v>6.3344999999999999E-3</v>
      </c>
      <c r="Z43">
        <v>1.1554200000000001E-2</v>
      </c>
      <c r="AA43">
        <v>2.20892E-2</v>
      </c>
      <c r="AB43">
        <v>4.2852000000000001E-2</v>
      </c>
      <c r="AC43">
        <v>8.4785899999999997E-2</v>
      </c>
      <c r="AD43">
        <v>0.16894000000000001</v>
      </c>
      <c r="AE43">
        <v>0.33691500000000002</v>
      </c>
      <c r="AF43">
        <v>0.68248600000000004</v>
      </c>
    </row>
    <row r="44" spans="1:32" x14ac:dyDescent="0.25">
      <c r="A44">
        <v>1.4228000000000001E-3</v>
      </c>
      <c r="B44">
        <v>1.2650000000000001E-3</v>
      </c>
      <c r="C44">
        <v>1.3552E-3</v>
      </c>
      <c r="D44">
        <v>1.5781E-3</v>
      </c>
      <c r="E44">
        <v>1.5541999999999999E-3</v>
      </c>
      <c r="F44">
        <v>2.3744E-3</v>
      </c>
      <c r="G44">
        <v>2.4063000000000001E-3</v>
      </c>
      <c r="H44">
        <v>3.4997000000000001E-3</v>
      </c>
      <c r="I44">
        <v>5.7054999999999996E-3</v>
      </c>
      <c r="J44">
        <v>1.00199E-2</v>
      </c>
      <c r="K44">
        <v>1.83584E-2</v>
      </c>
      <c r="L44">
        <v>3.4992700000000002E-2</v>
      </c>
      <c r="M44">
        <v>6.9012900000000002E-2</v>
      </c>
      <c r="N44">
        <v>0.13623399999999999</v>
      </c>
      <c r="O44">
        <v>0.27245599999999998</v>
      </c>
      <c r="P44">
        <v>0.54350900000000002</v>
      </c>
      <c r="Q44">
        <v>1.0194E-3</v>
      </c>
      <c r="R44">
        <v>1.0332E-3</v>
      </c>
      <c r="S44">
        <v>1.1379999999999999E-3</v>
      </c>
      <c r="T44">
        <v>1.4293999999999999E-3</v>
      </c>
      <c r="U44">
        <v>1.3304E-3</v>
      </c>
      <c r="V44">
        <v>1.5962999999999999E-3</v>
      </c>
      <c r="W44">
        <v>2.3770000000000002E-3</v>
      </c>
      <c r="X44">
        <v>3.7528000000000001E-3</v>
      </c>
      <c r="Y44">
        <v>6.2820000000000003E-3</v>
      </c>
      <c r="Z44">
        <v>1.1509800000000001E-2</v>
      </c>
      <c r="AA44">
        <v>2.20412E-2</v>
      </c>
      <c r="AB44">
        <v>4.29883E-2</v>
      </c>
      <c r="AC44">
        <v>8.4702100000000002E-2</v>
      </c>
      <c r="AD44">
        <v>0.16892399999999999</v>
      </c>
      <c r="AE44">
        <v>0.33692800000000001</v>
      </c>
      <c r="AF44">
        <v>0.68221100000000001</v>
      </c>
    </row>
    <row r="45" spans="1:32" x14ac:dyDescent="0.25">
      <c r="A45">
        <v>1.2833E-3</v>
      </c>
      <c r="B45">
        <v>1.2578999999999999E-3</v>
      </c>
      <c r="C45">
        <v>1.2532000000000001E-3</v>
      </c>
      <c r="D45">
        <v>1.6045E-3</v>
      </c>
      <c r="E45">
        <v>1.5517E-3</v>
      </c>
      <c r="F45">
        <v>2.4313999999999998E-3</v>
      </c>
      <c r="G45">
        <v>2.297E-3</v>
      </c>
      <c r="H45">
        <v>3.5035999999999999E-3</v>
      </c>
      <c r="I45">
        <v>5.7438000000000003E-3</v>
      </c>
      <c r="J45">
        <v>9.9593000000000008E-3</v>
      </c>
      <c r="K45">
        <v>1.8229499999999999E-2</v>
      </c>
      <c r="L45">
        <v>3.50759E-2</v>
      </c>
      <c r="M45">
        <v>6.8852700000000003E-2</v>
      </c>
      <c r="N45">
        <v>0.136211</v>
      </c>
      <c r="O45">
        <v>0.27268199999999998</v>
      </c>
      <c r="P45">
        <v>0.54337800000000003</v>
      </c>
      <c r="Q45">
        <v>9.6299999999999999E-4</v>
      </c>
      <c r="R45">
        <v>9.7369999999999998E-4</v>
      </c>
      <c r="S45">
        <v>1.1792E-3</v>
      </c>
      <c r="T45">
        <v>1.1321E-3</v>
      </c>
      <c r="U45">
        <v>1.3423E-3</v>
      </c>
      <c r="V45">
        <v>1.6642E-3</v>
      </c>
      <c r="W45">
        <v>2.3249E-3</v>
      </c>
      <c r="X45">
        <v>3.7923000000000002E-3</v>
      </c>
      <c r="Y45">
        <v>6.5846999999999998E-3</v>
      </c>
      <c r="Z45">
        <v>1.1598900000000001E-2</v>
      </c>
      <c r="AA45">
        <v>2.2017700000000001E-2</v>
      </c>
      <c r="AB45">
        <v>4.2854499999999997E-2</v>
      </c>
      <c r="AC45">
        <v>8.4652400000000003E-2</v>
      </c>
      <c r="AD45">
        <v>0.169021</v>
      </c>
      <c r="AE45">
        <v>0.33685799999999999</v>
      </c>
      <c r="AF45">
        <v>0.68247199999999997</v>
      </c>
    </row>
    <row r="46" spans="1:32" x14ac:dyDescent="0.25">
      <c r="A46">
        <v>1.3989E-3</v>
      </c>
      <c r="B46">
        <v>1.2848E-3</v>
      </c>
      <c r="C46">
        <v>1.2834000000000001E-3</v>
      </c>
      <c r="D46">
        <v>1.4878000000000001E-3</v>
      </c>
      <c r="E46">
        <v>1.5334999999999999E-3</v>
      </c>
      <c r="F46">
        <v>2.4145999999999998E-3</v>
      </c>
      <c r="G46">
        <v>2.1776999999999999E-3</v>
      </c>
      <c r="H46">
        <v>3.4261000000000001E-3</v>
      </c>
      <c r="I46">
        <v>5.6512000000000003E-3</v>
      </c>
      <c r="J46">
        <v>9.8689999999999993E-3</v>
      </c>
      <c r="K46">
        <v>1.8393E-2</v>
      </c>
      <c r="L46">
        <v>3.5020700000000002E-2</v>
      </c>
      <c r="M46">
        <v>6.8924899999999997E-2</v>
      </c>
      <c r="N46">
        <v>0.13618</v>
      </c>
      <c r="O46">
        <v>0.27273900000000001</v>
      </c>
      <c r="P46">
        <v>0.54330800000000001</v>
      </c>
      <c r="Q46">
        <v>9.1679999999999995E-4</v>
      </c>
      <c r="R46">
        <v>9.2909999999999998E-4</v>
      </c>
      <c r="S46">
        <v>1.2497999999999999E-3</v>
      </c>
      <c r="T46">
        <v>1.3102000000000001E-3</v>
      </c>
      <c r="U46">
        <v>1.3136000000000001E-3</v>
      </c>
      <c r="V46">
        <v>1.6944E-3</v>
      </c>
      <c r="W46">
        <v>2.4729000000000001E-3</v>
      </c>
      <c r="X46">
        <v>3.9236000000000002E-3</v>
      </c>
      <c r="Y46">
        <v>6.4266000000000002E-3</v>
      </c>
      <c r="Z46">
        <v>1.1566999999999999E-2</v>
      </c>
      <c r="AA46">
        <v>2.2095799999999999E-2</v>
      </c>
      <c r="AB46">
        <v>4.3100399999999997E-2</v>
      </c>
      <c r="AC46">
        <v>8.4496699999999994E-2</v>
      </c>
      <c r="AD46">
        <v>0.16895299999999999</v>
      </c>
      <c r="AE46">
        <v>0.33673599999999998</v>
      </c>
      <c r="AF46">
        <v>0.68219700000000005</v>
      </c>
    </row>
    <row r="47" spans="1:32" x14ac:dyDescent="0.25">
      <c r="A47">
        <v>1.2283000000000001E-3</v>
      </c>
      <c r="B47">
        <v>1.2991000000000001E-3</v>
      </c>
      <c r="C47">
        <v>1.3602E-3</v>
      </c>
      <c r="D47">
        <v>1.3129000000000001E-3</v>
      </c>
      <c r="E47">
        <v>1.5058999999999999E-3</v>
      </c>
      <c r="F47">
        <v>2.4483999999999999E-3</v>
      </c>
      <c r="G47">
        <v>2.1733999999999998E-3</v>
      </c>
      <c r="H47">
        <v>3.4759000000000001E-3</v>
      </c>
      <c r="I47">
        <v>5.6998999999999999E-3</v>
      </c>
      <c r="J47">
        <v>9.9989999999999992E-3</v>
      </c>
      <c r="K47">
        <v>1.8116299999999998E-2</v>
      </c>
      <c r="L47">
        <v>3.4974699999999997E-2</v>
      </c>
      <c r="M47">
        <v>6.8991899999999995E-2</v>
      </c>
      <c r="N47">
        <v>0.13633300000000001</v>
      </c>
      <c r="O47">
        <v>0.27257599999999998</v>
      </c>
      <c r="P47">
        <v>0.54944899999999997</v>
      </c>
      <c r="Q47">
        <v>9.2310000000000005E-4</v>
      </c>
      <c r="R47">
        <v>9.2409999999999996E-4</v>
      </c>
      <c r="S47">
        <v>1.2980999999999999E-3</v>
      </c>
      <c r="T47">
        <v>1.3140000000000001E-3</v>
      </c>
      <c r="U47">
        <v>1.4044999999999999E-3</v>
      </c>
      <c r="V47">
        <v>1.6764E-3</v>
      </c>
      <c r="W47">
        <v>2.3519999999999999E-3</v>
      </c>
      <c r="X47">
        <v>3.8446999999999999E-3</v>
      </c>
      <c r="Y47">
        <v>6.4872999999999997E-3</v>
      </c>
      <c r="Z47">
        <v>1.1581299999999999E-2</v>
      </c>
      <c r="AA47">
        <v>2.2063300000000001E-2</v>
      </c>
      <c r="AB47">
        <v>4.2847099999999999E-2</v>
      </c>
      <c r="AC47">
        <v>8.4556000000000006E-2</v>
      </c>
      <c r="AD47">
        <v>0.16905800000000001</v>
      </c>
      <c r="AE47">
        <v>0.33672400000000002</v>
      </c>
      <c r="AF47">
        <v>0.68228100000000003</v>
      </c>
    </row>
    <row r="48" spans="1:32" x14ac:dyDescent="0.25">
      <c r="A48">
        <v>1.2269E-3</v>
      </c>
      <c r="B48">
        <v>1.2830999999999999E-3</v>
      </c>
      <c r="C48">
        <v>1.9095E-3</v>
      </c>
      <c r="D48">
        <v>1.2786E-3</v>
      </c>
      <c r="E48">
        <v>1.5426999999999999E-3</v>
      </c>
      <c r="F48">
        <v>2.0631999999999998E-3</v>
      </c>
      <c r="G48">
        <v>2.2046000000000001E-3</v>
      </c>
      <c r="H48">
        <v>3.5723E-3</v>
      </c>
      <c r="I48">
        <v>5.7269E-3</v>
      </c>
      <c r="J48">
        <v>9.9568999999999994E-3</v>
      </c>
      <c r="K48">
        <v>1.8580800000000001E-2</v>
      </c>
      <c r="L48">
        <v>3.5411400000000003E-2</v>
      </c>
      <c r="M48">
        <v>6.8863800000000003E-2</v>
      </c>
      <c r="N48">
        <v>0.13627800000000001</v>
      </c>
      <c r="O48">
        <v>0.27258199999999999</v>
      </c>
      <c r="P48">
        <v>0.55166300000000001</v>
      </c>
      <c r="Q48">
        <v>9.7059999999999996E-4</v>
      </c>
      <c r="R48">
        <v>1.0472999999999999E-3</v>
      </c>
      <c r="S48">
        <v>1.2206999999999999E-3</v>
      </c>
      <c r="T48">
        <v>1.2034000000000001E-3</v>
      </c>
      <c r="U48">
        <v>1.3503E-3</v>
      </c>
      <c r="V48">
        <v>1.6731999999999999E-3</v>
      </c>
      <c r="W48">
        <v>2.359E-3</v>
      </c>
      <c r="X48">
        <v>3.8306999999999998E-3</v>
      </c>
      <c r="Y48">
        <v>6.4765999999999999E-3</v>
      </c>
      <c r="Z48">
        <v>1.1502699999999999E-2</v>
      </c>
      <c r="AA48">
        <v>2.2407400000000001E-2</v>
      </c>
      <c r="AB48">
        <v>4.2986099999999999E-2</v>
      </c>
      <c r="AC48">
        <v>8.4604399999999996E-2</v>
      </c>
      <c r="AD48">
        <v>0.16911599999999999</v>
      </c>
      <c r="AE48">
        <v>0.33677299999999999</v>
      </c>
      <c r="AF48">
        <v>0.68224799999999997</v>
      </c>
    </row>
    <row r="49" spans="1:32" x14ac:dyDescent="0.25">
      <c r="A49">
        <v>1.2162E-3</v>
      </c>
      <c r="B49">
        <v>1.3538000000000001E-3</v>
      </c>
      <c r="C49">
        <v>1.7145999999999999E-3</v>
      </c>
      <c r="D49">
        <v>1.3209000000000001E-3</v>
      </c>
      <c r="E49">
        <v>1.5054000000000001E-3</v>
      </c>
      <c r="F49">
        <v>1.8887999999999999E-3</v>
      </c>
      <c r="G49">
        <v>2.1641999999999998E-3</v>
      </c>
      <c r="H49">
        <v>3.532E-3</v>
      </c>
      <c r="I49">
        <v>5.646E-3</v>
      </c>
      <c r="J49">
        <v>1.00199E-2</v>
      </c>
      <c r="K49">
        <v>1.82755E-2</v>
      </c>
      <c r="L49">
        <v>3.5135699999999999E-2</v>
      </c>
      <c r="M49">
        <v>6.8807900000000005E-2</v>
      </c>
      <c r="N49">
        <v>0.13630300000000001</v>
      </c>
      <c r="O49">
        <v>0.27256399999999997</v>
      </c>
      <c r="P49">
        <v>0.55150399999999999</v>
      </c>
      <c r="Q49">
        <v>9.1710000000000001E-4</v>
      </c>
      <c r="R49">
        <v>1.0970000000000001E-3</v>
      </c>
      <c r="S49">
        <v>1.1329000000000001E-3</v>
      </c>
      <c r="T49">
        <v>1.1236E-3</v>
      </c>
      <c r="U49">
        <v>1.3002999999999999E-3</v>
      </c>
      <c r="V49">
        <v>1.6795E-3</v>
      </c>
      <c r="W49">
        <v>2.4554999999999998E-3</v>
      </c>
      <c r="X49">
        <v>3.9407000000000001E-3</v>
      </c>
      <c r="Y49">
        <v>6.3041E-3</v>
      </c>
      <c r="Z49">
        <v>1.14626E-2</v>
      </c>
      <c r="AA49">
        <v>2.1999700000000001E-2</v>
      </c>
      <c r="AB49">
        <v>4.2921500000000001E-2</v>
      </c>
      <c r="AC49">
        <v>8.4736099999999995E-2</v>
      </c>
      <c r="AD49">
        <v>0.16905999999999999</v>
      </c>
      <c r="AE49">
        <v>0.33683600000000002</v>
      </c>
      <c r="AF49">
        <v>0.68224799999999997</v>
      </c>
    </row>
    <row r="50" spans="1:32" x14ac:dyDescent="0.25">
      <c r="A50">
        <v>1.2297E-3</v>
      </c>
      <c r="B50">
        <v>1.2772E-3</v>
      </c>
      <c r="C50">
        <v>1.5287E-3</v>
      </c>
      <c r="D50">
        <v>1.3655E-3</v>
      </c>
      <c r="E50">
        <v>1.5265000000000001E-3</v>
      </c>
      <c r="F50">
        <v>3.5465000000000002E-3</v>
      </c>
      <c r="G50">
        <v>2.3557000000000001E-3</v>
      </c>
      <c r="H50">
        <v>3.5409E-3</v>
      </c>
      <c r="I50">
        <v>5.7704000000000002E-3</v>
      </c>
      <c r="J50">
        <v>1.0026500000000001E-2</v>
      </c>
      <c r="K50">
        <v>1.8592299999999999E-2</v>
      </c>
      <c r="L50">
        <v>3.5161400000000002E-2</v>
      </c>
      <c r="M50">
        <v>6.8913000000000002E-2</v>
      </c>
      <c r="N50">
        <v>0.13638400000000001</v>
      </c>
      <c r="O50">
        <v>0.27258500000000002</v>
      </c>
      <c r="P50">
        <v>0.55171099999999995</v>
      </c>
      <c r="Q50">
        <v>9.0350000000000001E-4</v>
      </c>
      <c r="R50">
        <v>9.7460000000000005E-4</v>
      </c>
      <c r="S50">
        <v>1.1808999999999999E-3</v>
      </c>
      <c r="T50">
        <v>1.1473E-3</v>
      </c>
      <c r="U50">
        <v>1.4304999999999999E-3</v>
      </c>
      <c r="V50">
        <v>1.5667000000000001E-3</v>
      </c>
      <c r="W50">
        <v>2.264E-3</v>
      </c>
      <c r="X50">
        <v>3.9267E-3</v>
      </c>
      <c r="Y50">
        <v>6.4069000000000001E-3</v>
      </c>
      <c r="Z50">
        <v>1.1600900000000001E-2</v>
      </c>
      <c r="AA50">
        <v>2.1880699999999999E-2</v>
      </c>
      <c r="AB50">
        <v>4.3170300000000002E-2</v>
      </c>
      <c r="AC50">
        <v>8.4718799999999997E-2</v>
      </c>
      <c r="AD50">
        <v>0.16894300000000001</v>
      </c>
      <c r="AE50">
        <v>0.33687</v>
      </c>
      <c r="AF50">
        <v>0.68221799999999999</v>
      </c>
    </row>
    <row r="51" spans="1:32" x14ac:dyDescent="0.25">
      <c r="A51">
        <v>1.2125E-3</v>
      </c>
      <c r="B51">
        <v>1.2673000000000001E-3</v>
      </c>
      <c r="C51">
        <v>1.3782E-3</v>
      </c>
      <c r="D51">
        <v>1.4277999999999999E-3</v>
      </c>
      <c r="E51">
        <v>1.5418000000000001E-3</v>
      </c>
      <c r="F51">
        <v>2.1716000000000001E-3</v>
      </c>
      <c r="G51">
        <v>2.4510000000000001E-3</v>
      </c>
      <c r="H51">
        <v>3.4405999999999998E-3</v>
      </c>
      <c r="I51">
        <v>5.7222999999999996E-3</v>
      </c>
      <c r="J51">
        <v>9.8466999999999999E-3</v>
      </c>
      <c r="K51">
        <v>1.8312100000000001E-2</v>
      </c>
      <c r="L51">
        <v>3.5186500000000002E-2</v>
      </c>
      <c r="M51">
        <v>6.9047899999999995E-2</v>
      </c>
      <c r="N51">
        <v>0.136291</v>
      </c>
      <c r="O51">
        <v>0.27254200000000001</v>
      </c>
      <c r="P51">
        <v>0.55172200000000005</v>
      </c>
      <c r="Q51">
        <v>9.0899999999999998E-4</v>
      </c>
      <c r="R51">
        <v>1.0208999999999999E-3</v>
      </c>
      <c r="S51">
        <v>1.2260000000000001E-3</v>
      </c>
      <c r="T51">
        <v>1.2685000000000001E-3</v>
      </c>
      <c r="U51">
        <v>1.3550000000000001E-3</v>
      </c>
      <c r="V51">
        <v>1.6077000000000001E-3</v>
      </c>
      <c r="W51">
        <v>2.3695999999999999E-3</v>
      </c>
      <c r="X51">
        <v>3.8363E-3</v>
      </c>
      <c r="Y51">
        <v>6.4094E-3</v>
      </c>
      <c r="Z51">
        <v>1.1937400000000001E-2</v>
      </c>
      <c r="AA51">
        <v>2.1919899999999999E-2</v>
      </c>
      <c r="AB51">
        <v>4.3045E-2</v>
      </c>
      <c r="AC51">
        <v>8.4649000000000002E-2</v>
      </c>
      <c r="AD51">
        <v>0.16913400000000001</v>
      </c>
      <c r="AE51">
        <v>0.33688800000000002</v>
      </c>
      <c r="AF51">
        <v>0.68215599999999998</v>
      </c>
    </row>
    <row r="52" spans="1:32" x14ac:dyDescent="0.25">
      <c r="A52">
        <f>AVERAGE(x__5[minMaxPar_50_15.txt])</f>
        <v>1.41296E-3</v>
      </c>
      <c r="B52">
        <f>AVERAGE(x__5[minMaxPar_50_16.txt])</f>
        <v>1.3629560000000002E-3</v>
      </c>
      <c r="C52">
        <f>AVERAGE(x__5[minMaxPar_50_17.txt])</f>
        <v>1.394731999999999E-3</v>
      </c>
      <c r="D52">
        <f>AVERAGE(x__5[minMaxPar_50_18.txt])</f>
        <v>1.628446E-3</v>
      </c>
      <c r="E52">
        <f>AVERAGE(x__5[minMaxPar_50_19.txt])</f>
        <v>1.5849139999999998E-3</v>
      </c>
      <c r="F52">
        <f>AVERAGE(x__5[minMaxPar_50_20.txt])</f>
        <v>1.9330300000000001E-3</v>
      </c>
      <c r="G52">
        <f>AVERAGE(x__5[minMaxPar_50_21.txt])</f>
        <v>2.3463000000000004E-3</v>
      </c>
      <c r="H52">
        <f>AVERAGE(x__5[minMaxPar_50_22.txt])</f>
        <v>3.6459280000000001E-3</v>
      </c>
      <c r="I52">
        <f>AVERAGE(x__5[minMaxPar_50_23.txt])</f>
        <v>5.7561599999999997E-3</v>
      </c>
      <c r="J52">
        <f>AVERAGE(x__5[minMaxPar_50_24.txt])</f>
        <v>9.966375999999999E-3</v>
      </c>
      <c r="K52">
        <f>AVERAGE(x__5[minMaxPar_50_25.txt])</f>
        <v>1.8344272000000002E-2</v>
      </c>
      <c r="L52">
        <f>AVERAGE(x__5[minMaxPar_50_26.txt])</f>
        <v>3.5110074000000012E-2</v>
      </c>
      <c r="M52">
        <f>AVERAGE(x__5[minMaxPar_50_27.txt])</f>
        <v>6.9014033999999974E-2</v>
      </c>
      <c r="N52">
        <f>AVERAGE(x__5[minMaxPar_50_28.txt])</f>
        <v>0.13631027999999998</v>
      </c>
      <c r="O52">
        <f>AVERAGE(x__5[minMaxPar_50_29.txt])</f>
        <v>0.27247336</v>
      </c>
      <c r="P52">
        <f>AVERAGE(x__5[minMaxPar_50_30.txt])</f>
        <v>0.54422028</v>
      </c>
      <c r="Q52">
        <f>AVERAGE(x__5[montePar_50_15.txt])</f>
        <v>1.0514520000000002E-3</v>
      </c>
      <c r="R52">
        <f>AVERAGE(x__5[montePar_50_16.txt])</f>
        <v>1.0055260000000003E-3</v>
      </c>
      <c r="S52">
        <f>AVERAGE(x__5[montePar_50_17.txt])</f>
        <v>1.0819179999999996E-3</v>
      </c>
      <c r="T52">
        <f>AVERAGE(x__5[montePar_50_18.txt])</f>
        <v>1.2933819999999998E-3</v>
      </c>
      <c r="U52">
        <f>AVERAGE(x__5[montePar_50_19.txt])</f>
        <v>1.4104459999999999E-3</v>
      </c>
      <c r="V52">
        <f>AVERAGE(x__5[montePar_50_20.txt])</f>
        <v>1.7900739999999994E-3</v>
      </c>
      <c r="W52">
        <f>AVERAGE(x__5[montePar_50_21.txt])</f>
        <v>2.5923739999999997E-3</v>
      </c>
      <c r="X52">
        <f>AVERAGE(x__5[montePar_50_22.txt])</f>
        <v>3.7833580000000001E-3</v>
      </c>
      <c r="Y52">
        <f>AVERAGE(x__5[montePar_50_23.txt])</f>
        <v>6.5559060000000002E-3</v>
      </c>
      <c r="Z52">
        <f>AVERAGE(x__5[montePar_50_24.txt])</f>
        <v>1.1588443999999998E-2</v>
      </c>
      <c r="AA52">
        <f>AVERAGE(x__5[montePar_50_25.txt])</f>
        <v>2.1993992000000011E-2</v>
      </c>
      <c r="AB52">
        <f>AVERAGE(x__5[montePar_50_26.txt])</f>
        <v>4.2925601999999986E-2</v>
      </c>
      <c r="AC52">
        <f>AVERAGE(x__5[montePar_50_27.txt])</f>
        <v>8.4651348000000001E-2</v>
      </c>
      <c r="AD52">
        <f>AVERAGE(x__5[montePar_50_28.txt])</f>
        <v>0.16872363999999995</v>
      </c>
      <c r="AE52">
        <f>AVERAGE(x__5[montePar_50_29.txt])</f>
        <v>0.33681940000000005</v>
      </c>
      <c r="AF52">
        <f>AVERAGE(x__5[montePar_50_30.txt])</f>
        <v>0.68231224000000001</v>
      </c>
    </row>
    <row r="53" spans="1:32" x14ac:dyDescent="0.25">
      <c r="A53">
        <f>STDEVPA(x__5[minMaxPar_50_15.txt])</f>
        <v>2.0915356463613048E-4</v>
      </c>
      <c r="B53">
        <f>STDEVPA(x__5[minMaxPar_50_16.txt])</f>
        <v>1.3796610621453372E-4</v>
      </c>
      <c r="C53">
        <f>STDEVPA(x__5[minMaxPar_50_17.txt])</f>
        <v>1.4697714031780586E-4</v>
      </c>
      <c r="D53">
        <f>STDEVPA(x__5[minMaxPar_50_18.txt])</f>
        <v>2.4231901387220941E-4</v>
      </c>
      <c r="E53">
        <f>STDEVPA(x__5[minMaxPar_50_19.txt])</f>
        <v>9.4708109494382801E-5</v>
      </c>
      <c r="F53">
        <f>STDEVPA(x__5[minMaxPar_50_20.txt])</f>
        <v>3.149702368478647E-4</v>
      </c>
      <c r="G53">
        <f>STDEVPA(x__5[minMaxPar_50_21.txt])</f>
        <v>1.432179108910614E-4</v>
      </c>
      <c r="H53">
        <f>STDEVPA(x__5[minMaxPar_50_22.txt])</f>
        <v>2.9555958995776133E-4</v>
      </c>
      <c r="I53">
        <f>STDEVPA(x__5[minMaxPar_50_23.txt])</f>
        <v>1.2184839596810464E-4</v>
      </c>
      <c r="J53">
        <f>STDEVPA(x__5[minMaxPar_50_24.txt])</f>
        <v>8.3848951239714413E-5</v>
      </c>
      <c r="K53">
        <f>STDEVPA(x__5[minMaxPar_50_25.txt])</f>
        <v>1.2248653483546681E-4</v>
      </c>
      <c r="L53">
        <f>STDEVPA(x__5[minMaxPar_50_26.txt])</f>
        <v>1.027349712804753E-4</v>
      </c>
      <c r="M53">
        <f>STDEVPA(x__5[minMaxPar_50_27.txt])</f>
        <v>9.5351764766048831E-5</v>
      </c>
      <c r="N53">
        <f>STDEVPA(x__5[minMaxPar_50_28.txt])</f>
        <v>7.9356169262384291E-5</v>
      </c>
      <c r="O53">
        <f>STDEVPA(x__5[minMaxPar_50_29.txt])</f>
        <v>1.7405180378266585E-4</v>
      </c>
      <c r="P53">
        <f>STDEVPA(x__5[minMaxPar_50_30.txt])</f>
        <v>2.3504796450086497E-3</v>
      </c>
      <c r="Q53">
        <f>STDEVPA(x__5[montePar_50_15.txt])</f>
        <v>7.4236132799062205E-4</v>
      </c>
      <c r="R53">
        <f>STDEVPA(x__5[montePar_50_16.txt])</f>
        <v>8.8027240806468518E-5</v>
      </c>
      <c r="S53">
        <f>STDEVPA(x__5[montePar_50_17.txt])</f>
        <v>1.1955954782450459E-4</v>
      </c>
      <c r="T53">
        <f>STDEVPA(x__5[montePar_50_18.txt])</f>
        <v>1.3220471956779757E-4</v>
      </c>
      <c r="U53">
        <f>STDEVPA(x__5[montePar_50_19.txt])</f>
        <v>1.2804875510523327E-4</v>
      </c>
      <c r="V53">
        <f>STDEVPA(x__5[montePar_50_20.txt])</f>
        <v>3.2168023178927237E-4</v>
      </c>
      <c r="W53">
        <f>STDEVPA(x__5[montePar_50_21.txt])</f>
        <v>4.384220887729084E-4</v>
      </c>
      <c r="X53">
        <f>STDEVPA(x__5[montePar_50_22.txt])</f>
        <v>9.5659715847372265E-5</v>
      </c>
      <c r="Y53">
        <f>STDEVPA(x__5[montePar_50_23.txt])</f>
        <v>1.0252967575116972E-3</v>
      </c>
      <c r="Z53">
        <f>STDEVPA(x__5[montePar_50_24.txt])</f>
        <v>1.0469015648092242E-4</v>
      </c>
      <c r="AA53">
        <f>STDEVPA(x__5[montePar_50_25.txt])</f>
        <v>1.0841201564402371E-4</v>
      </c>
      <c r="AB53">
        <f>STDEVPA(x__5[montePar_50_26.txt])</f>
        <v>1.2136134885539152E-4</v>
      </c>
      <c r="AC53">
        <f>STDEVPA(x__5[montePar_50_27.txt])</f>
        <v>8.9140559208477325E-5</v>
      </c>
      <c r="AD53">
        <f>STDEVPA(x__5[montePar_50_28.txt])</f>
        <v>4.7137792735765663E-4</v>
      </c>
      <c r="AE53">
        <f>STDEVPA(x__5[montePar_50_29.txt])</f>
        <v>8.9154472686456417E-5</v>
      </c>
      <c r="AF53">
        <f>STDEVPA(x__5[montePar_50_30.txt])</f>
        <v>1.2346425555601276E-4</v>
      </c>
    </row>
    <row r="54" spans="1:32" s="3" customFormat="1" x14ac:dyDescent="0.25">
      <c r="A54" s="3">
        <f>A53/x__5[[#Totals],[minMaxPar_50_15.txt]]</f>
        <v>0.14802511368767018</v>
      </c>
      <c r="B54" s="3">
        <f>B53/x__5[[#Totals],[minMaxPar_50_16.txt]]</f>
        <v>0.10122564940800267</v>
      </c>
      <c r="C54" s="3">
        <f>C53/x__5[[#Totals],[minMaxPar_50_17.txt]]</f>
        <v>0.10538020230252548</v>
      </c>
      <c r="D54" s="3">
        <f>D53/x__5[[#Totals],[minMaxPar_50_18.txt]]</f>
        <v>0.14880383744515288</v>
      </c>
      <c r="E54" s="3">
        <f>E53/x__5[[#Totals],[minMaxPar_50_19.txt]]</f>
        <v>5.9755992750636824E-2</v>
      </c>
      <c r="F54" s="3">
        <f>F53/x__5[[#Totals],[minMaxPar_50_20.txt]]</f>
        <v>0.16294120466204079</v>
      </c>
      <c r="G54" s="3">
        <f>G53/x__5[[#Totals],[minMaxPar_50_21.txt]]</f>
        <v>6.1039897238657194E-2</v>
      </c>
      <c r="H54" s="3">
        <f>H53/x__5[[#Totals],[minMaxPar_50_22.txt]]</f>
        <v>8.1065668317575473E-2</v>
      </c>
      <c r="I54" s="3">
        <f>I53/x__5[[#Totals],[minMaxPar_50_23.txt]]</f>
        <v>2.1168347642891206E-2</v>
      </c>
      <c r="J54" s="3">
        <f>J53/x__5[[#Totals],[minMaxPar_50_24.txt]]</f>
        <v>8.4131836125502808E-3</v>
      </c>
      <c r="K54" s="3">
        <f>K53/x__5[[#Totals],[minMaxPar_50_25.txt]]</f>
        <v>6.6770997963542409E-3</v>
      </c>
      <c r="L54" s="3">
        <f>L53/x__5[[#Totals],[minMaxPar_50_26.txt]]</f>
        <v>2.9260824480311625E-3</v>
      </c>
      <c r="M54" s="3">
        <f>M53/x__5[[#Totals],[minMaxPar_50_27.txt]]</f>
        <v>1.3816286230427983E-3</v>
      </c>
      <c r="N54" s="3">
        <f>N53/x__5[[#Totals],[minMaxPar_50_28.txt]]</f>
        <v>5.8217303392219802E-4</v>
      </c>
      <c r="O54" s="3">
        <f>O53/x__5[[#Totals],[minMaxPar_50_29.txt]]</f>
        <v>6.3878466424264688E-4</v>
      </c>
      <c r="P54" s="3">
        <f>P53/x__5[[#Totals],[minMaxPar_50_30.txt]]</f>
        <v>4.3189857698956932E-3</v>
      </c>
      <c r="Q54" s="3">
        <f>Q53/x__5[[#Totals],[montePar_50_15.txt]]</f>
        <v>0.70603444378880054</v>
      </c>
      <c r="R54" s="3">
        <f>R53/x__5[[#Totals],[montePar_50_16.txt]]</f>
        <v>8.7543475560521056E-2</v>
      </c>
      <c r="S54" s="3">
        <f>S53/x__5[[#Totals],[montePar_50_17.txt]]</f>
        <v>0.11050703271828792</v>
      </c>
      <c r="T54" s="3">
        <f>T53/x__5[[#Totals],[montePar_50_18.txt]]</f>
        <v>0.10221629771235226</v>
      </c>
      <c r="U54" s="3">
        <f>U53/x__5[[#Totals],[montePar_50_19.txt]]</f>
        <v>9.0786003225386352E-2</v>
      </c>
      <c r="V54" s="3">
        <f>V53/x__5[[#Totals],[montePar_50_20.txt]]</f>
        <v>0.17970219766851678</v>
      </c>
      <c r="W54" s="3">
        <f>W53/x__5[[#Totals],[montePar_50_21.txt]]</f>
        <v>0.16911992203783421</v>
      </c>
      <c r="X54" s="3">
        <f>X53/x__5[[#Totals],[montePar_50_22.txt]]</f>
        <v>2.5284341541924465E-2</v>
      </c>
      <c r="Y54" s="3">
        <f>Y53/x__5[[#Totals],[montePar_50_23.txt]]</f>
        <v>0.15639283990827466</v>
      </c>
      <c r="Z54" s="3">
        <f>Z53/x__5[[#Totals],[montePar_50_24.txt]]</f>
        <v>9.0340132360239595E-3</v>
      </c>
      <c r="AA54" s="3">
        <f>AA53/x__5[[#Totals],[montePar_50_25.txt]]</f>
        <v>4.9291650030619111E-3</v>
      </c>
      <c r="AB54" s="3">
        <f>AB53/x__5[[#Totals],[montePar_50_26.txt]]</f>
        <v>2.8272486162312076E-3</v>
      </c>
      <c r="AC54" s="3">
        <f>AC53/x__5[[#Totals],[montePar_50_27.txt]]</f>
        <v>1.0530317746207339E-3</v>
      </c>
      <c r="AD54" s="3">
        <f>AD53/x__5[[#Totals],[montePar_50_28.txt]]</f>
        <v>2.7937870908762803E-3</v>
      </c>
      <c r="AE54" s="3">
        <f>AE53/x__5[[#Totals],[montePar_50_29.txt]]</f>
        <v>2.6469518289758966E-4</v>
      </c>
      <c r="AF54" s="3">
        <f>AF53/x__5[[#Totals],[montePar_50_30.txt]]</f>
        <v>1.8094978855430287E-4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31685-7F4A-4C70-8C79-0B15518DA61F}">
  <dimension ref="A1:AF54"/>
  <sheetViews>
    <sheetView topLeftCell="A40" workbookViewId="0">
      <selection activeCell="P52" sqref="A52:P54"/>
    </sheetView>
  </sheetViews>
  <sheetFormatPr defaultRowHeight="15" x14ac:dyDescent="0.25"/>
  <cols>
    <col min="1" max="16" width="22.7109375" bestFit="1" customWidth="1"/>
    <col min="17" max="32" width="21.28515625" bestFit="1" customWidth="1"/>
  </cols>
  <sheetData>
    <row r="1" spans="1:3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</row>
    <row r="2" spans="1:32" x14ac:dyDescent="0.25">
      <c r="A2">
        <v>3.2056599999999998E-2</v>
      </c>
      <c r="B2">
        <v>3.2761699999999998E-2</v>
      </c>
      <c r="C2">
        <v>3.1838600000000002E-2</v>
      </c>
      <c r="D2">
        <v>3.2596100000000003E-2</v>
      </c>
      <c r="E2">
        <v>3.4693000000000002E-2</v>
      </c>
      <c r="F2">
        <v>3.2669299999999998E-2</v>
      </c>
      <c r="G2">
        <v>3.8027600000000002E-2</v>
      </c>
      <c r="H2">
        <v>4.3336699999999999E-2</v>
      </c>
      <c r="I2">
        <v>5.8950000000000002E-2</v>
      </c>
      <c r="J2">
        <v>9.1412999999999994E-2</v>
      </c>
      <c r="K2">
        <v>0.154918</v>
      </c>
      <c r="L2">
        <v>0.281939</v>
      </c>
      <c r="M2">
        <v>0.53674299999999997</v>
      </c>
      <c r="N2">
        <v>1.0466800000000001</v>
      </c>
      <c r="O2">
        <v>2.0649500000000001</v>
      </c>
      <c r="P2">
        <v>4.1113600000000003</v>
      </c>
      <c r="Q2">
        <v>3.22676E-2</v>
      </c>
      <c r="R2">
        <v>2.51521E-2</v>
      </c>
      <c r="S2">
        <v>2.52766E-2</v>
      </c>
      <c r="T2">
        <v>2.5300699999999999E-2</v>
      </c>
      <c r="U2">
        <v>2.5500999999999999E-2</v>
      </c>
      <c r="V2">
        <v>2.6285699999999999E-2</v>
      </c>
      <c r="W2">
        <v>2.9836100000000001E-2</v>
      </c>
      <c r="X2">
        <v>3.62981E-2</v>
      </c>
      <c r="Y2">
        <v>5.2744100000000002E-2</v>
      </c>
      <c r="Z2">
        <v>8.56957E-2</v>
      </c>
      <c r="AA2">
        <v>0.151667</v>
      </c>
      <c r="AB2">
        <v>0.28311900000000001</v>
      </c>
      <c r="AC2">
        <v>0.54616600000000004</v>
      </c>
      <c r="AD2">
        <v>1.0723800000000001</v>
      </c>
      <c r="AE2">
        <v>2.1238700000000001</v>
      </c>
      <c r="AF2">
        <v>4.2286900000000003</v>
      </c>
    </row>
    <row r="3" spans="1:32" x14ac:dyDescent="0.25">
      <c r="A3">
        <v>3.2900499999999999E-2</v>
      </c>
      <c r="B3">
        <v>3.3003299999999999E-2</v>
      </c>
      <c r="C3">
        <v>3.19768E-2</v>
      </c>
      <c r="D3">
        <v>3.2108100000000001E-2</v>
      </c>
      <c r="E3">
        <v>3.3058400000000002E-2</v>
      </c>
      <c r="F3">
        <v>3.3416599999999998E-2</v>
      </c>
      <c r="G3">
        <v>3.6628399999999998E-2</v>
      </c>
      <c r="H3">
        <v>4.36531E-2</v>
      </c>
      <c r="I3">
        <v>5.8819000000000003E-2</v>
      </c>
      <c r="J3">
        <v>9.1751899999999997E-2</v>
      </c>
      <c r="K3">
        <v>0.15490100000000001</v>
      </c>
      <c r="L3">
        <v>0.28271499999999999</v>
      </c>
      <c r="M3">
        <v>0.53697099999999998</v>
      </c>
      <c r="N3">
        <v>1.04704</v>
      </c>
      <c r="O3">
        <v>2.06656</v>
      </c>
      <c r="P3">
        <v>4.1118300000000003</v>
      </c>
      <c r="Q3">
        <v>2.7081000000000001E-2</v>
      </c>
      <c r="R3">
        <v>2.50295E-2</v>
      </c>
      <c r="S3">
        <v>2.4990200000000001E-2</v>
      </c>
      <c r="T3">
        <v>2.5064199999999998E-2</v>
      </c>
      <c r="U3">
        <v>2.50481E-2</v>
      </c>
      <c r="V3">
        <v>2.57796E-2</v>
      </c>
      <c r="W3">
        <v>2.94174E-2</v>
      </c>
      <c r="X3">
        <v>3.64593E-2</v>
      </c>
      <c r="Y3">
        <v>5.25481E-2</v>
      </c>
      <c r="Z3">
        <v>8.53965E-2</v>
      </c>
      <c r="AA3">
        <v>0.151613</v>
      </c>
      <c r="AB3">
        <v>0.28325299999999998</v>
      </c>
      <c r="AC3">
        <v>0.545879</v>
      </c>
      <c r="AD3">
        <v>1.0721099999999999</v>
      </c>
      <c r="AE3">
        <v>2.1234600000000001</v>
      </c>
      <c r="AF3">
        <v>4.2278799999999999</v>
      </c>
    </row>
    <row r="4" spans="1:32" x14ac:dyDescent="0.25">
      <c r="A4">
        <v>3.2435800000000001E-2</v>
      </c>
      <c r="B4">
        <v>3.2689999999999997E-2</v>
      </c>
      <c r="C4">
        <v>3.2172399999999997E-2</v>
      </c>
      <c r="D4">
        <v>3.2967099999999999E-2</v>
      </c>
      <c r="E4">
        <v>3.3024699999999997E-2</v>
      </c>
      <c r="F4">
        <v>3.3774499999999999E-2</v>
      </c>
      <c r="G4">
        <v>3.7267099999999997E-2</v>
      </c>
      <c r="H4">
        <v>4.3711399999999997E-2</v>
      </c>
      <c r="I4">
        <v>5.9107300000000002E-2</v>
      </c>
      <c r="J4">
        <v>9.1363799999999995E-2</v>
      </c>
      <c r="K4">
        <v>0.155195</v>
      </c>
      <c r="L4">
        <v>0.28254400000000002</v>
      </c>
      <c r="M4">
        <v>0.53730999999999995</v>
      </c>
      <c r="N4">
        <v>1.0466800000000001</v>
      </c>
      <c r="O4">
        <v>2.0662400000000001</v>
      </c>
      <c r="P4">
        <v>4.1046800000000001</v>
      </c>
      <c r="Q4">
        <v>2.7275000000000001E-2</v>
      </c>
      <c r="R4">
        <v>2.4689599999999999E-2</v>
      </c>
      <c r="S4">
        <v>2.5618599999999998E-2</v>
      </c>
      <c r="T4">
        <v>2.4965399999999999E-2</v>
      </c>
      <c r="U4">
        <v>2.4930500000000001E-2</v>
      </c>
      <c r="V4">
        <v>2.57731E-2</v>
      </c>
      <c r="W4">
        <v>2.95102E-2</v>
      </c>
      <c r="X4">
        <v>3.6333900000000002E-2</v>
      </c>
      <c r="Y4">
        <v>5.2920399999999999E-2</v>
      </c>
      <c r="Z4">
        <v>8.5245299999999996E-2</v>
      </c>
      <c r="AA4">
        <v>0.15164900000000001</v>
      </c>
      <c r="AB4">
        <v>0.28309699999999999</v>
      </c>
      <c r="AC4">
        <v>0.54587300000000005</v>
      </c>
      <c r="AD4">
        <v>1.0721099999999999</v>
      </c>
      <c r="AE4">
        <v>2.1234899999999999</v>
      </c>
      <c r="AF4">
        <v>4.22844</v>
      </c>
    </row>
    <row r="5" spans="1:32" x14ac:dyDescent="0.25">
      <c r="A5">
        <v>3.2307599999999999E-2</v>
      </c>
      <c r="B5">
        <v>3.2885999999999999E-2</v>
      </c>
      <c r="C5">
        <v>3.2556399999999999E-2</v>
      </c>
      <c r="D5">
        <v>3.3479299999999997E-2</v>
      </c>
      <c r="E5">
        <v>3.3078999999999997E-2</v>
      </c>
      <c r="F5">
        <v>3.347E-2</v>
      </c>
      <c r="G5">
        <v>3.6574500000000003E-2</v>
      </c>
      <c r="H5">
        <v>4.3471099999999999E-2</v>
      </c>
      <c r="I5">
        <v>5.9508699999999998E-2</v>
      </c>
      <c r="J5">
        <v>9.1743699999999997E-2</v>
      </c>
      <c r="K5">
        <v>0.15577199999999999</v>
      </c>
      <c r="L5">
        <v>0.28270000000000001</v>
      </c>
      <c r="M5">
        <v>0.53694699999999995</v>
      </c>
      <c r="N5">
        <v>1.0469299999999999</v>
      </c>
      <c r="O5">
        <v>2.06488</v>
      </c>
      <c r="P5">
        <v>4.1047599999999997</v>
      </c>
      <c r="Q5">
        <v>2.6994299999999999E-2</v>
      </c>
      <c r="R5">
        <v>2.4947299999999999E-2</v>
      </c>
      <c r="S5">
        <v>2.50499E-2</v>
      </c>
      <c r="T5">
        <v>2.4798000000000001E-2</v>
      </c>
      <c r="U5">
        <v>2.5031100000000001E-2</v>
      </c>
      <c r="V5">
        <v>2.5845199999999999E-2</v>
      </c>
      <c r="W5">
        <v>2.9400699999999998E-2</v>
      </c>
      <c r="X5">
        <v>3.5943999999999997E-2</v>
      </c>
      <c r="Y5">
        <v>5.2548600000000001E-2</v>
      </c>
      <c r="Z5">
        <v>8.5415199999999997E-2</v>
      </c>
      <c r="AA5">
        <v>0.15167700000000001</v>
      </c>
      <c r="AB5">
        <v>0.28307500000000002</v>
      </c>
      <c r="AC5">
        <v>0.54582699999999995</v>
      </c>
      <c r="AD5">
        <v>1.0719000000000001</v>
      </c>
      <c r="AE5">
        <v>2.1229499999999999</v>
      </c>
      <c r="AF5">
        <v>4.2286700000000002</v>
      </c>
    </row>
    <row r="6" spans="1:32" x14ac:dyDescent="0.25">
      <c r="A6">
        <v>3.2402300000000002E-2</v>
      </c>
      <c r="B6">
        <v>3.3115800000000001E-2</v>
      </c>
      <c r="C6">
        <v>3.2169700000000002E-2</v>
      </c>
      <c r="D6">
        <v>3.38479E-2</v>
      </c>
      <c r="E6">
        <v>3.2999599999999997E-2</v>
      </c>
      <c r="F6">
        <v>3.3331800000000002E-2</v>
      </c>
      <c r="G6">
        <v>3.6080899999999999E-2</v>
      </c>
      <c r="H6">
        <v>4.3835300000000001E-2</v>
      </c>
      <c r="I6">
        <v>5.8903700000000003E-2</v>
      </c>
      <c r="J6">
        <v>9.15406E-2</v>
      </c>
      <c r="K6">
        <v>0.15517300000000001</v>
      </c>
      <c r="L6">
        <v>0.28226600000000002</v>
      </c>
      <c r="M6">
        <v>0.53761599999999998</v>
      </c>
      <c r="N6">
        <v>1.0467500000000001</v>
      </c>
      <c r="O6">
        <v>2.06575</v>
      </c>
      <c r="P6">
        <v>4.1054399999999998</v>
      </c>
      <c r="Q6">
        <v>2.6771900000000001E-2</v>
      </c>
      <c r="R6">
        <v>2.4779800000000001E-2</v>
      </c>
      <c r="S6">
        <v>2.4933199999999999E-2</v>
      </c>
      <c r="T6">
        <v>2.4502400000000001E-2</v>
      </c>
      <c r="U6">
        <v>2.5157800000000001E-2</v>
      </c>
      <c r="V6">
        <v>2.5786300000000002E-2</v>
      </c>
      <c r="W6">
        <v>2.9224900000000002E-2</v>
      </c>
      <c r="X6">
        <v>3.6492700000000003E-2</v>
      </c>
      <c r="Y6">
        <v>5.25546E-2</v>
      </c>
      <c r="Z6">
        <v>8.5461899999999993E-2</v>
      </c>
      <c r="AA6">
        <v>0.15159</v>
      </c>
      <c r="AB6">
        <v>0.28328799999999998</v>
      </c>
      <c r="AC6">
        <v>0.54581500000000005</v>
      </c>
      <c r="AD6">
        <v>1.07186</v>
      </c>
      <c r="AE6">
        <v>2.1228199999999999</v>
      </c>
      <c r="AF6">
        <v>4.2282099999999998</v>
      </c>
    </row>
    <row r="7" spans="1:32" x14ac:dyDescent="0.25">
      <c r="A7">
        <v>3.3494500000000003E-2</v>
      </c>
      <c r="B7">
        <v>3.2547899999999998E-2</v>
      </c>
      <c r="C7">
        <v>3.2792700000000001E-2</v>
      </c>
      <c r="D7">
        <v>3.2631100000000003E-2</v>
      </c>
      <c r="E7">
        <v>3.4624299999999997E-2</v>
      </c>
      <c r="F7">
        <v>3.3448800000000001E-2</v>
      </c>
      <c r="G7">
        <v>3.6393500000000002E-2</v>
      </c>
      <c r="H7">
        <v>4.4673999999999998E-2</v>
      </c>
      <c r="I7">
        <v>5.9096799999999998E-2</v>
      </c>
      <c r="J7">
        <v>9.1612600000000002E-2</v>
      </c>
      <c r="K7">
        <v>0.155221</v>
      </c>
      <c r="L7">
        <v>0.28259800000000002</v>
      </c>
      <c r="M7">
        <v>0.53759400000000002</v>
      </c>
      <c r="N7">
        <v>1.0470299999999999</v>
      </c>
      <c r="O7">
        <v>2.0652300000000001</v>
      </c>
      <c r="P7">
        <v>4.1054199999999996</v>
      </c>
      <c r="Q7">
        <v>2.6674E-2</v>
      </c>
      <c r="R7">
        <v>2.5144799999999998E-2</v>
      </c>
      <c r="S7">
        <v>2.4952599999999998E-2</v>
      </c>
      <c r="T7">
        <v>2.46555E-2</v>
      </c>
      <c r="U7">
        <v>2.50815E-2</v>
      </c>
      <c r="V7">
        <v>2.59279E-2</v>
      </c>
      <c r="W7">
        <v>2.92667E-2</v>
      </c>
      <c r="X7">
        <v>3.6736999999999999E-2</v>
      </c>
      <c r="Y7">
        <v>5.2733299999999997E-2</v>
      </c>
      <c r="Z7">
        <v>8.5871799999999998E-2</v>
      </c>
      <c r="AA7">
        <v>0.151702</v>
      </c>
      <c r="AB7">
        <v>0.28312900000000002</v>
      </c>
      <c r="AC7">
        <v>0.54588700000000001</v>
      </c>
      <c r="AD7">
        <v>1.0720799999999999</v>
      </c>
      <c r="AE7">
        <v>2.1230099999999998</v>
      </c>
      <c r="AF7">
        <v>4.22818</v>
      </c>
    </row>
    <row r="8" spans="1:32" x14ac:dyDescent="0.25">
      <c r="A8">
        <v>3.3356200000000003E-2</v>
      </c>
      <c r="B8">
        <v>3.2354899999999999E-2</v>
      </c>
      <c r="C8">
        <v>3.3623899999999998E-2</v>
      </c>
      <c r="D8">
        <v>3.2409199999999999E-2</v>
      </c>
      <c r="E8">
        <v>3.33783E-2</v>
      </c>
      <c r="F8">
        <v>3.3784599999999998E-2</v>
      </c>
      <c r="G8">
        <v>3.6088500000000003E-2</v>
      </c>
      <c r="H8">
        <v>4.3927500000000001E-2</v>
      </c>
      <c r="I8">
        <v>5.9051399999999997E-2</v>
      </c>
      <c r="J8">
        <v>9.1253799999999996E-2</v>
      </c>
      <c r="K8">
        <v>0.15495600000000001</v>
      </c>
      <c r="L8">
        <v>0.28237299999999999</v>
      </c>
      <c r="M8">
        <v>0.53719899999999998</v>
      </c>
      <c r="N8">
        <v>1.0466599999999999</v>
      </c>
      <c r="O8">
        <v>2.0650300000000001</v>
      </c>
      <c r="P8">
        <v>4.10473</v>
      </c>
      <c r="Q8">
        <v>2.57001E-2</v>
      </c>
      <c r="R8">
        <v>2.4993700000000001E-2</v>
      </c>
      <c r="S8">
        <v>2.50342E-2</v>
      </c>
      <c r="T8">
        <v>2.4640800000000001E-2</v>
      </c>
      <c r="U8">
        <v>2.49009E-2</v>
      </c>
      <c r="V8">
        <v>2.5656700000000001E-2</v>
      </c>
      <c r="W8">
        <v>2.9372100000000002E-2</v>
      </c>
      <c r="X8">
        <v>3.6185700000000001E-2</v>
      </c>
      <c r="Y8">
        <v>5.2357500000000001E-2</v>
      </c>
      <c r="Z8">
        <v>8.5589999999999999E-2</v>
      </c>
      <c r="AA8">
        <v>0.151473</v>
      </c>
      <c r="AB8">
        <v>0.28310099999999999</v>
      </c>
      <c r="AC8">
        <v>0.54587399999999997</v>
      </c>
      <c r="AD8">
        <v>1.0723400000000001</v>
      </c>
      <c r="AE8">
        <v>2.1238700000000001</v>
      </c>
      <c r="AF8">
        <v>4.2283099999999996</v>
      </c>
    </row>
    <row r="9" spans="1:32" x14ac:dyDescent="0.25">
      <c r="A9">
        <v>3.21848E-2</v>
      </c>
      <c r="B9">
        <v>3.31124E-2</v>
      </c>
      <c r="C9">
        <v>3.3318E-2</v>
      </c>
      <c r="D9">
        <v>3.2524699999999997E-2</v>
      </c>
      <c r="E9">
        <v>3.4250099999999999E-2</v>
      </c>
      <c r="F9">
        <v>3.30738E-2</v>
      </c>
      <c r="G9">
        <v>3.6327400000000003E-2</v>
      </c>
      <c r="H9">
        <v>4.3875499999999998E-2</v>
      </c>
      <c r="I9">
        <v>5.9315300000000001E-2</v>
      </c>
      <c r="J9">
        <v>9.1208800000000007E-2</v>
      </c>
      <c r="K9">
        <v>0.15525</v>
      </c>
      <c r="L9">
        <v>0.28240599999999999</v>
      </c>
      <c r="M9">
        <v>0.537713</v>
      </c>
      <c r="N9">
        <v>1.04725</v>
      </c>
      <c r="O9">
        <v>2.06623</v>
      </c>
      <c r="P9">
        <v>4.1056600000000003</v>
      </c>
      <c r="Q9">
        <v>2.5973799999999998E-2</v>
      </c>
      <c r="R9">
        <v>2.5201100000000001E-2</v>
      </c>
      <c r="S9">
        <v>2.47981E-2</v>
      </c>
      <c r="T9">
        <v>2.49465E-2</v>
      </c>
      <c r="U9">
        <v>2.51982E-2</v>
      </c>
      <c r="V9">
        <v>2.5668300000000002E-2</v>
      </c>
      <c r="W9">
        <v>2.9197899999999999E-2</v>
      </c>
      <c r="X9">
        <v>3.6662699999999999E-2</v>
      </c>
      <c r="Y9">
        <v>5.23367E-2</v>
      </c>
      <c r="Z9">
        <v>8.5716799999999996E-2</v>
      </c>
      <c r="AA9">
        <v>0.151583</v>
      </c>
      <c r="AB9">
        <v>0.28318599999999999</v>
      </c>
      <c r="AC9">
        <v>0.54587200000000002</v>
      </c>
      <c r="AD9">
        <v>1.0720700000000001</v>
      </c>
      <c r="AE9">
        <v>2.1234000000000002</v>
      </c>
      <c r="AF9">
        <v>4.2439600000000004</v>
      </c>
    </row>
    <row r="10" spans="1:32" x14ac:dyDescent="0.25">
      <c r="A10">
        <v>3.2183099999999999E-2</v>
      </c>
      <c r="B10">
        <v>3.2851699999999998E-2</v>
      </c>
      <c r="C10">
        <v>3.2747600000000002E-2</v>
      </c>
      <c r="D10">
        <v>3.2730200000000001E-2</v>
      </c>
      <c r="E10">
        <v>3.2998899999999998E-2</v>
      </c>
      <c r="F10">
        <v>3.3112500000000003E-2</v>
      </c>
      <c r="G10">
        <v>3.59984E-2</v>
      </c>
      <c r="H10">
        <v>4.3257999999999998E-2</v>
      </c>
      <c r="I10">
        <v>5.8714099999999998E-2</v>
      </c>
      <c r="J10">
        <v>9.1384699999999999E-2</v>
      </c>
      <c r="K10">
        <v>0.15522</v>
      </c>
      <c r="L10">
        <v>0.28261999999999998</v>
      </c>
      <c r="M10">
        <v>0.537107</v>
      </c>
      <c r="N10">
        <v>1.04738</v>
      </c>
      <c r="O10">
        <v>2.0651999999999999</v>
      </c>
      <c r="P10">
        <v>4.1052799999999996</v>
      </c>
      <c r="Q10">
        <v>2.5827900000000001E-2</v>
      </c>
      <c r="R10">
        <v>2.4854999999999999E-2</v>
      </c>
      <c r="S10">
        <v>2.4897699999999998E-2</v>
      </c>
      <c r="T10">
        <v>2.4965600000000001E-2</v>
      </c>
      <c r="U10">
        <v>2.5034000000000001E-2</v>
      </c>
      <c r="V10">
        <v>2.5810699999999999E-2</v>
      </c>
      <c r="W10">
        <v>2.91241E-2</v>
      </c>
      <c r="X10">
        <v>3.5930400000000001E-2</v>
      </c>
      <c r="Y10">
        <v>5.2574900000000001E-2</v>
      </c>
      <c r="Z10">
        <v>8.56132E-2</v>
      </c>
      <c r="AA10">
        <v>0.15143699999999999</v>
      </c>
      <c r="AB10">
        <v>0.28293400000000002</v>
      </c>
      <c r="AC10">
        <v>0.54580799999999996</v>
      </c>
      <c r="AD10">
        <v>1.0720700000000001</v>
      </c>
      <c r="AE10">
        <v>2.1240800000000002</v>
      </c>
      <c r="AF10">
        <v>4.2689399999999997</v>
      </c>
    </row>
    <row r="11" spans="1:32" x14ac:dyDescent="0.25">
      <c r="A11">
        <v>3.3119500000000003E-2</v>
      </c>
      <c r="B11">
        <v>3.3317399999999997E-2</v>
      </c>
      <c r="C11">
        <v>3.2204999999999998E-2</v>
      </c>
      <c r="D11">
        <v>3.2845199999999998E-2</v>
      </c>
      <c r="E11">
        <v>3.29425E-2</v>
      </c>
      <c r="F11">
        <v>3.34478E-2</v>
      </c>
      <c r="G11">
        <v>3.6874999999999998E-2</v>
      </c>
      <c r="H11">
        <v>4.2861099999999999E-2</v>
      </c>
      <c r="I11">
        <v>5.9295399999999998E-2</v>
      </c>
      <c r="J11">
        <v>9.1400999999999996E-2</v>
      </c>
      <c r="K11">
        <v>0.15490200000000001</v>
      </c>
      <c r="L11">
        <v>0.28270600000000001</v>
      </c>
      <c r="M11">
        <v>0.53703599999999996</v>
      </c>
      <c r="N11">
        <v>1.0469299999999999</v>
      </c>
      <c r="O11">
        <v>2.0656099999999999</v>
      </c>
      <c r="P11">
        <v>4.1048999999999998</v>
      </c>
      <c r="Q11">
        <v>2.6028599999999999E-2</v>
      </c>
      <c r="R11">
        <v>2.4909799999999999E-2</v>
      </c>
      <c r="S11">
        <v>2.4769200000000002E-2</v>
      </c>
      <c r="T11">
        <v>2.4558799999999999E-2</v>
      </c>
      <c r="U11">
        <v>2.48203E-2</v>
      </c>
      <c r="V11">
        <v>2.5701000000000002E-2</v>
      </c>
      <c r="W11">
        <v>2.9083299999999999E-2</v>
      </c>
      <c r="X11">
        <v>3.6416900000000002E-2</v>
      </c>
      <c r="Y11">
        <v>5.25739E-2</v>
      </c>
      <c r="Z11">
        <v>8.5918300000000003E-2</v>
      </c>
      <c r="AA11">
        <v>0.151365</v>
      </c>
      <c r="AB11">
        <v>0.282972</v>
      </c>
      <c r="AC11">
        <v>0.54581999999999997</v>
      </c>
      <c r="AD11">
        <v>1.07206</v>
      </c>
      <c r="AE11">
        <v>2.12426</v>
      </c>
      <c r="AF11">
        <v>4.2692500000000004</v>
      </c>
    </row>
    <row r="12" spans="1:32" x14ac:dyDescent="0.25">
      <c r="A12">
        <v>3.3910000000000003E-2</v>
      </c>
      <c r="B12">
        <v>3.2601400000000003E-2</v>
      </c>
      <c r="C12">
        <v>3.2761100000000001E-2</v>
      </c>
      <c r="D12">
        <v>3.3247100000000002E-2</v>
      </c>
      <c r="E12">
        <v>3.2707800000000002E-2</v>
      </c>
      <c r="F12">
        <v>3.3274100000000001E-2</v>
      </c>
      <c r="G12">
        <v>3.6005099999999998E-2</v>
      </c>
      <c r="H12">
        <v>4.3294800000000001E-2</v>
      </c>
      <c r="I12">
        <v>5.9412699999999999E-2</v>
      </c>
      <c r="J12">
        <v>9.1890899999999998E-2</v>
      </c>
      <c r="K12">
        <v>0.15507699999999999</v>
      </c>
      <c r="L12">
        <v>0.282918</v>
      </c>
      <c r="M12">
        <v>0.53732199999999997</v>
      </c>
      <c r="N12">
        <v>1.04705</v>
      </c>
      <c r="O12">
        <v>2.0652200000000001</v>
      </c>
      <c r="P12">
        <v>4.1055099999999998</v>
      </c>
      <c r="Q12">
        <v>2.5412199999999999E-2</v>
      </c>
      <c r="R12">
        <v>2.4852300000000001E-2</v>
      </c>
      <c r="S12">
        <v>2.49418E-2</v>
      </c>
      <c r="T12">
        <v>2.5002099999999999E-2</v>
      </c>
      <c r="U12">
        <v>2.4867E-2</v>
      </c>
      <c r="V12">
        <v>2.59396E-2</v>
      </c>
      <c r="W12">
        <v>2.9039100000000002E-2</v>
      </c>
      <c r="X12">
        <v>3.64383E-2</v>
      </c>
      <c r="Y12">
        <v>5.2510099999999997E-2</v>
      </c>
      <c r="Z12">
        <v>8.5640599999999997E-2</v>
      </c>
      <c r="AA12">
        <v>0.15165400000000001</v>
      </c>
      <c r="AB12">
        <v>0.28302500000000003</v>
      </c>
      <c r="AC12">
        <v>0.54595800000000005</v>
      </c>
      <c r="AD12">
        <v>1.0719799999999999</v>
      </c>
      <c r="AE12">
        <v>2.12304</v>
      </c>
      <c r="AF12">
        <v>4.2697099999999999</v>
      </c>
    </row>
    <row r="13" spans="1:32" x14ac:dyDescent="0.25">
      <c r="A13">
        <v>3.3402099999999997E-2</v>
      </c>
      <c r="B13">
        <v>3.2599099999999999E-2</v>
      </c>
      <c r="C13">
        <v>3.3653299999999997E-2</v>
      </c>
      <c r="D13">
        <v>3.2498600000000002E-2</v>
      </c>
      <c r="E13">
        <v>3.2756599999999997E-2</v>
      </c>
      <c r="F13">
        <v>3.2953099999999999E-2</v>
      </c>
      <c r="G13">
        <v>3.6209900000000003E-2</v>
      </c>
      <c r="H13">
        <v>4.3702299999999999E-2</v>
      </c>
      <c r="I13">
        <v>5.9561200000000002E-2</v>
      </c>
      <c r="J13">
        <v>9.1054899999999994E-2</v>
      </c>
      <c r="K13">
        <v>0.15537000000000001</v>
      </c>
      <c r="L13">
        <v>0.28334999999999999</v>
      </c>
      <c r="M13">
        <v>0.537138</v>
      </c>
      <c r="N13">
        <v>1.04704</v>
      </c>
      <c r="O13">
        <v>2.0646200000000001</v>
      </c>
      <c r="P13">
        <v>4.1052900000000001</v>
      </c>
      <c r="Q13">
        <v>2.5892499999999999E-2</v>
      </c>
      <c r="R13">
        <v>2.5106E-2</v>
      </c>
      <c r="S13">
        <v>2.48699E-2</v>
      </c>
      <c r="T13">
        <v>2.4947299999999999E-2</v>
      </c>
      <c r="U13">
        <v>2.48098E-2</v>
      </c>
      <c r="V13">
        <v>2.5831300000000001E-2</v>
      </c>
      <c r="W13">
        <v>2.90418E-2</v>
      </c>
      <c r="X13">
        <v>3.6312799999999999E-2</v>
      </c>
      <c r="Y13">
        <v>5.2537199999999999E-2</v>
      </c>
      <c r="Z13">
        <v>8.57044E-2</v>
      </c>
      <c r="AA13">
        <v>0.151481</v>
      </c>
      <c r="AB13">
        <v>0.283001</v>
      </c>
      <c r="AC13">
        <v>0.54600899999999997</v>
      </c>
      <c r="AD13">
        <v>1.0719799999999999</v>
      </c>
      <c r="AE13">
        <v>2.1229800000000001</v>
      </c>
      <c r="AF13">
        <v>4.2690299999999999</v>
      </c>
    </row>
    <row r="14" spans="1:32" x14ac:dyDescent="0.25">
      <c r="A14">
        <v>3.2266299999999998E-2</v>
      </c>
      <c r="B14">
        <v>3.2182099999999998E-2</v>
      </c>
      <c r="C14">
        <v>3.2649999999999998E-2</v>
      </c>
      <c r="D14">
        <v>3.3066900000000003E-2</v>
      </c>
      <c r="E14">
        <v>3.2501299999999997E-2</v>
      </c>
      <c r="F14">
        <v>3.3134799999999999E-2</v>
      </c>
      <c r="G14">
        <v>3.6426699999999999E-2</v>
      </c>
      <c r="H14">
        <v>4.3781E-2</v>
      </c>
      <c r="I14">
        <v>5.9224699999999998E-2</v>
      </c>
      <c r="J14">
        <v>9.1436799999999999E-2</v>
      </c>
      <c r="K14">
        <v>0.15495500000000001</v>
      </c>
      <c r="L14">
        <v>0.28247499999999998</v>
      </c>
      <c r="M14">
        <v>0.53720199999999996</v>
      </c>
      <c r="N14">
        <v>1.04653</v>
      </c>
      <c r="O14">
        <v>2.06501</v>
      </c>
      <c r="P14">
        <v>4.1053600000000001</v>
      </c>
      <c r="Q14">
        <v>2.51008E-2</v>
      </c>
      <c r="R14">
        <v>2.4835800000000002E-2</v>
      </c>
      <c r="S14">
        <v>2.4974900000000001E-2</v>
      </c>
      <c r="T14">
        <v>2.4564900000000001E-2</v>
      </c>
      <c r="U14">
        <v>2.47234E-2</v>
      </c>
      <c r="V14">
        <v>2.5907400000000001E-2</v>
      </c>
      <c r="W14">
        <v>2.8826299999999999E-2</v>
      </c>
      <c r="X14">
        <v>3.6547200000000002E-2</v>
      </c>
      <c r="Y14">
        <v>5.2678900000000001E-2</v>
      </c>
      <c r="Z14">
        <v>8.5516999999999996E-2</v>
      </c>
      <c r="AA14">
        <v>0.151535</v>
      </c>
      <c r="AB14">
        <v>0.282974</v>
      </c>
      <c r="AC14">
        <v>0.54601500000000003</v>
      </c>
      <c r="AD14">
        <v>1.0721700000000001</v>
      </c>
      <c r="AE14">
        <v>2.1253099999999998</v>
      </c>
      <c r="AF14">
        <v>4.2691999999999997</v>
      </c>
    </row>
    <row r="15" spans="1:32" x14ac:dyDescent="0.25">
      <c r="A15">
        <v>3.2719199999999997E-2</v>
      </c>
      <c r="B15">
        <v>3.22572E-2</v>
      </c>
      <c r="C15">
        <v>3.2449199999999997E-2</v>
      </c>
      <c r="D15">
        <v>3.2607799999999999E-2</v>
      </c>
      <c r="E15">
        <v>3.2961299999999999E-2</v>
      </c>
      <c r="F15">
        <v>3.2943E-2</v>
      </c>
      <c r="G15">
        <v>3.6608399999999999E-2</v>
      </c>
      <c r="H15">
        <v>4.4028900000000003E-2</v>
      </c>
      <c r="I15">
        <v>5.8916999999999997E-2</v>
      </c>
      <c r="J15">
        <v>9.1129000000000002E-2</v>
      </c>
      <c r="K15">
        <v>0.154692</v>
      </c>
      <c r="L15">
        <v>0.28237299999999999</v>
      </c>
      <c r="M15">
        <v>0.53752</v>
      </c>
      <c r="N15">
        <v>1.04708</v>
      </c>
      <c r="O15">
        <v>2.0656599999999998</v>
      </c>
      <c r="P15">
        <v>4.1050700000000004</v>
      </c>
      <c r="Q15">
        <v>2.5373699999999999E-2</v>
      </c>
      <c r="R15">
        <v>2.5397800000000002E-2</v>
      </c>
      <c r="S15">
        <v>2.5075199999999999E-2</v>
      </c>
      <c r="T15">
        <v>2.4496199999999999E-2</v>
      </c>
      <c r="U15">
        <v>2.5230200000000001E-2</v>
      </c>
      <c r="V15">
        <v>2.57959E-2</v>
      </c>
      <c r="W15">
        <v>2.9123699999999999E-2</v>
      </c>
      <c r="X15">
        <v>3.6651599999999999E-2</v>
      </c>
      <c r="Y15">
        <v>5.2481800000000002E-2</v>
      </c>
      <c r="Z15">
        <v>8.5608500000000004E-2</v>
      </c>
      <c r="AA15">
        <v>0.15139900000000001</v>
      </c>
      <c r="AB15">
        <v>0.28310600000000002</v>
      </c>
      <c r="AC15">
        <v>0.54602399999999995</v>
      </c>
      <c r="AD15">
        <v>1.0721099999999999</v>
      </c>
      <c r="AE15">
        <v>2.1242399999999999</v>
      </c>
      <c r="AF15">
        <v>4.2690599999999996</v>
      </c>
    </row>
    <row r="16" spans="1:32" x14ac:dyDescent="0.25">
      <c r="A16">
        <v>3.2190700000000003E-2</v>
      </c>
      <c r="B16">
        <v>3.2056500000000002E-2</v>
      </c>
      <c r="C16">
        <v>3.1876000000000002E-2</v>
      </c>
      <c r="D16">
        <v>3.2313599999999998E-2</v>
      </c>
      <c r="E16">
        <v>3.2882399999999999E-2</v>
      </c>
      <c r="F16">
        <v>3.3094499999999999E-2</v>
      </c>
      <c r="G16">
        <v>3.6532299999999997E-2</v>
      </c>
      <c r="H16">
        <v>4.4703399999999997E-2</v>
      </c>
      <c r="I16">
        <v>5.9414000000000002E-2</v>
      </c>
      <c r="J16">
        <v>9.1291700000000003E-2</v>
      </c>
      <c r="K16">
        <v>0.155529</v>
      </c>
      <c r="L16">
        <v>0.28258100000000003</v>
      </c>
      <c r="M16">
        <v>0.53694500000000001</v>
      </c>
      <c r="N16">
        <v>1.0469999999999999</v>
      </c>
      <c r="O16">
        <v>2.0648599999999999</v>
      </c>
      <c r="P16">
        <v>4.1052</v>
      </c>
      <c r="Q16">
        <v>2.5395000000000001E-2</v>
      </c>
      <c r="R16">
        <v>2.9193199999999999E-2</v>
      </c>
      <c r="S16">
        <v>2.5043900000000001E-2</v>
      </c>
      <c r="T16">
        <v>2.4632999999999999E-2</v>
      </c>
      <c r="U16">
        <v>2.49418E-2</v>
      </c>
      <c r="V16">
        <v>2.5589500000000001E-2</v>
      </c>
      <c r="W16">
        <v>2.90294E-2</v>
      </c>
      <c r="X16">
        <v>3.6940300000000002E-2</v>
      </c>
      <c r="Y16">
        <v>5.2472400000000002E-2</v>
      </c>
      <c r="Z16">
        <v>8.5660700000000006E-2</v>
      </c>
      <c r="AA16">
        <v>0.151833</v>
      </c>
      <c r="AB16">
        <v>0.28309899999999999</v>
      </c>
      <c r="AC16">
        <v>0.54588400000000004</v>
      </c>
      <c r="AD16">
        <v>1.0719700000000001</v>
      </c>
      <c r="AE16">
        <v>2.12392</v>
      </c>
      <c r="AF16">
        <v>4.2688300000000003</v>
      </c>
    </row>
    <row r="17" spans="1:32" x14ac:dyDescent="0.25">
      <c r="A17">
        <v>3.2767499999999998E-2</v>
      </c>
      <c r="B17">
        <v>3.22063E-2</v>
      </c>
      <c r="C17">
        <v>3.1984699999999998E-2</v>
      </c>
      <c r="D17">
        <v>3.2301099999999999E-2</v>
      </c>
      <c r="E17">
        <v>3.3545199999999997E-2</v>
      </c>
      <c r="F17">
        <v>3.3039800000000001E-2</v>
      </c>
      <c r="G17">
        <v>3.6304200000000002E-2</v>
      </c>
      <c r="H17">
        <v>4.33879E-2</v>
      </c>
      <c r="I17">
        <v>5.9339200000000002E-2</v>
      </c>
      <c r="J17">
        <v>9.1276499999999997E-2</v>
      </c>
      <c r="K17">
        <v>0.15560499999999999</v>
      </c>
      <c r="L17">
        <v>0.28245500000000001</v>
      </c>
      <c r="M17">
        <v>0.53716900000000001</v>
      </c>
      <c r="N17">
        <v>1.0474399999999999</v>
      </c>
      <c r="O17">
        <v>2.06507</v>
      </c>
      <c r="P17">
        <v>4.1054700000000004</v>
      </c>
      <c r="Q17">
        <v>2.47619E-2</v>
      </c>
      <c r="R17">
        <v>2.5154300000000001E-2</v>
      </c>
      <c r="S17">
        <v>2.45423E-2</v>
      </c>
      <c r="T17">
        <v>2.4962600000000001E-2</v>
      </c>
      <c r="U17">
        <v>2.47788E-2</v>
      </c>
      <c r="V17">
        <v>2.5672E-2</v>
      </c>
      <c r="W17">
        <v>2.90732E-2</v>
      </c>
      <c r="X17">
        <v>3.6132699999999997E-2</v>
      </c>
      <c r="Y17">
        <v>5.2625100000000001E-2</v>
      </c>
      <c r="Z17">
        <v>8.5738300000000003E-2</v>
      </c>
      <c r="AA17">
        <v>0.151583</v>
      </c>
      <c r="AB17">
        <v>0.28296900000000003</v>
      </c>
      <c r="AC17">
        <v>0.54596800000000001</v>
      </c>
      <c r="AD17">
        <v>1.07193</v>
      </c>
      <c r="AE17">
        <v>2.1232899999999999</v>
      </c>
      <c r="AF17">
        <v>4.2694900000000002</v>
      </c>
    </row>
    <row r="18" spans="1:32" x14ac:dyDescent="0.25">
      <c r="A18">
        <v>3.2906400000000002E-2</v>
      </c>
      <c r="B18">
        <v>3.2273999999999997E-2</v>
      </c>
      <c r="C18">
        <v>3.1806800000000003E-2</v>
      </c>
      <c r="D18">
        <v>3.2240100000000001E-2</v>
      </c>
      <c r="E18">
        <v>3.3181200000000001E-2</v>
      </c>
      <c r="F18">
        <v>3.29254E-2</v>
      </c>
      <c r="G18">
        <v>3.6155300000000001E-2</v>
      </c>
      <c r="H18">
        <v>4.3613600000000002E-2</v>
      </c>
      <c r="I18">
        <v>5.9271499999999998E-2</v>
      </c>
      <c r="J18">
        <v>9.2335299999999995E-2</v>
      </c>
      <c r="K18">
        <v>0.15501100000000001</v>
      </c>
      <c r="L18">
        <v>0.28268599999999999</v>
      </c>
      <c r="M18">
        <v>0.53718100000000002</v>
      </c>
      <c r="N18">
        <v>1.0469900000000001</v>
      </c>
      <c r="O18">
        <v>2.06603</v>
      </c>
      <c r="P18">
        <v>4.1069300000000002</v>
      </c>
      <c r="Q18">
        <v>2.4982500000000001E-2</v>
      </c>
      <c r="R18">
        <v>2.4830399999999999E-2</v>
      </c>
      <c r="S18">
        <v>2.4804300000000001E-2</v>
      </c>
      <c r="T18">
        <v>2.4891799999999999E-2</v>
      </c>
      <c r="U18">
        <v>2.4907599999999998E-2</v>
      </c>
      <c r="V18">
        <v>2.5912299999999999E-2</v>
      </c>
      <c r="W18">
        <v>2.8994800000000001E-2</v>
      </c>
      <c r="X18">
        <v>3.6478099999999999E-2</v>
      </c>
      <c r="Y18">
        <v>5.24974E-2</v>
      </c>
      <c r="Z18">
        <v>8.5721000000000006E-2</v>
      </c>
      <c r="AA18">
        <v>0.15160000000000001</v>
      </c>
      <c r="AB18">
        <v>0.28295900000000002</v>
      </c>
      <c r="AC18">
        <v>0.54602700000000004</v>
      </c>
      <c r="AD18">
        <v>1.0719399999999999</v>
      </c>
      <c r="AE18">
        <v>2.1235599999999999</v>
      </c>
      <c r="AF18">
        <v>4.2698700000000001</v>
      </c>
    </row>
    <row r="19" spans="1:32" x14ac:dyDescent="0.25">
      <c r="A19">
        <v>3.2716599999999998E-2</v>
      </c>
      <c r="B19">
        <v>3.2822200000000003E-2</v>
      </c>
      <c r="C19">
        <v>3.1599500000000003E-2</v>
      </c>
      <c r="D19">
        <v>3.2952099999999998E-2</v>
      </c>
      <c r="E19">
        <v>3.3310199999999998E-2</v>
      </c>
      <c r="F19">
        <v>3.3532399999999997E-2</v>
      </c>
      <c r="G19">
        <v>3.6204699999999999E-2</v>
      </c>
      <c r="H19">
        <v>4.4086E-2</v>
      </c>
      <c r="I19">
        <v>5.8924400000000002E-2</v>
      </c>
      <c r="J19">
        <v>9.1469599999999998E-2</v>
      </c>
      <c r="K19">
        <v>0.15574499999999999</v>
      </c>
      <c r="L19">
        <v>0.28239399999999998</v>
      </c>
      <c r="M19">
        <v>0.53670099999999998</v>
      </c>
      <c r="N19">
        <v>1.04684</v>
      </c>
      <c r="O19">
        <v>2.06473</v>
      </c>
      <c r="P19">
        <v>4.1056699999999999</v>
      </c>
      <c r="Q19">
        <v>2.4824499999999999E-2</v>
      </c>
      <c r="R19">
        <v>2.4490899999999999E-2</v>
      </c>
      <c r="S19">
        <v>2.4462399999999999E-2</v>
      </c>
      <c r="T19">
        <v>2.5011700000000001E-2</v>
      </c>
      <c r="U19">
        <v>2.5156999999999999E-2</v>
      </c>
      <c r="V19">
        <v>2.5577800000000001E-2</v>
      </c>
      <c r="W19">
        <v>2.9181100000000001E-2</v>
      </c>
      <c r="X19">
        <v>3.6708699999999997E-2</v>
      </c>
      <c r="Y19">
        <v>5.2658499999999997E-2</v>
      </c>
      <c r="Z19">
        <v>8.5708599999999996E-2</v>
      </c>
      <c r="AA19">
        <v>0.15163199999999999</v>
      </c>
      <c r="AB19">
        <v>0.28299800000000003</v>
      </c>
      <c r="AC19">
        <v>0.54574199999999995</v>
      </c>
      <c r="AD19">
        <v>1.07199</v>
      </c>
      <c r="AE19">
        <v>2.1243500000000002</v>
      </c>
      <c r="AF19">
        <v>4.2682200000000003</v>
      </c>
    </row>
    <row r="20" spans="1:32" x14ac:dyDescent="0.25">
      <c r="A20">
        <v>3.2535300000000003E-2</v>
      </c>
      <c r="B20">
        <v>3.2115200000000003E-2</v>
      </c>
      <c r="C20">
        <v>3.25429E-2</v>
      </c>
      <c r="D20">
        <v>3.2614900000000002E-2</v>
      </c>
      <c r="E20">
        <v>3.2833399999999999E-2</v>
      </c>
      <c r="F20">
        <v>3.3339000000000001E-2</v>
      </c>
      <c r="G20">
        <v>3.6193599999999999E-2</v>
      </c>
      <c r="H20">
        <v>4.3617999999999997E-2</v>
      </c>
      <c r="I20">
        <v>5.9613399999999997E-2</v>
      </c>
      <c r="J20">
        <v>9.1534000000000004E-2</v>
      </c>
      <c r="K20">
        <v>0.155219</v>
      </c>
      <c r="L20">
        <v>0.28250599999999998</v>
      </c>
      <c r="M20">
        <v>0.53715800000000002</v>
      </c>
      <c r="N20">
        <v>1.04644</v>
      </c>
      <c r="O20">
        <v>2.0652300000000001</v>
      </c>
      <c r="P20">
        <v>4.1054599999999999</v>
      </c>
      <c r="Q20">
        <v>2.4418800000000001E-2</v>
      </c>
      <c r="R20">
        <v>2.4920899999999999E-2</v>
      </c>
      <c r="S20">
        <v>2.4611399999999999E-2</v>
      </c>
      <c r="T20">
        <v>2.4849400000000001E-2</v>
      </c>
      <c r="U20">
        <v>2.4828599999999999E-2</v>
      </c>
      <c r="V20">
        <v>2.5804299999999999E-2</v>
      </c>
      <c r="W20">
        <v>2.8807599999999999E-2</v>
      </c>
      <c r="X20">
        <v>3.6590299999999999E-2</v>
      </c>
      <c r="Y20">
        <v>5.2835800000000002E-2</v>
      </c>
      <c r="Z20">
        <v>8.5634399999999999E-2</v>
      </c>
      <c r="AA20">
        <v>0.151508</v>
      </c>
      <c r="AB20">
        <v>0.28287400000000001</v>
      </c>
      <c r="AC20">
        <v>0.54592700000000005</v>
      </c>
      <c r="AD20">
        <v>1.07202</v>
      </c>
      <c r="AE20">
        <v>2.1241500000000002</v>
      </c>
      <c r="AF20">
        <v>4.2691100000000004</v>
      </c>
    </row>
    <row r="21" spans="1:32" x14ac:dyDescent="0.25">
      <c r="A21">
        <v>3.32999E-2</v>
      </c>
      <c r="B21">
        <v>3.2556700000000001E-2</v>
      </c>
      <c r="C21">
        <v>3.2729300000000003E-2</v>
      </c>
      <c r="D21">
        <v>3.2717499999999997E-2</v>
      </c>
      <c r="E21">
        <v>3.2796100000000002E-2</v>
      </c>
      <c r="F21">
        <v>3.4458000000000003E-2</v>
      </c>
      <c r="G21">
        <v>3.6344300000000003E-2</v>
      </c>
      <c r="H21">
        <v>4.3355499999999998E-2</v>
      </c>
      <c r="I21">
        <v>6.0061099999999999E-2</v>
      </c>
      <c r="J21">
        <v>9.1283699999999995E-2</v>
      </c>
      <c r="K21">
        <v>0.15535499999999999</v>
      </c>
      <c r="L21">
        <v>0.282221</v>
      </c>
      <c r="M21">
        <v>0.53695700000000002</v>
      </c>
      <c r="N21">
        <v>1.0474699999999999</v>
      </c>
      <c r="O21">
        <v>2.0653800000000002</v>
      </c>
      <c r="P21">
        <v>4.1058300000000001</v>
      </c>
      <c r="Q21">
        <v>2.4542999999999999E-2</v>
      </c>
      <c r="R21">
        <v>2.51008E-2</v>
      </c>
      <c r="S21">
        <v>2.4809399999999999E-2</v>
      </c>
      <c r="T21">
        <v>2.5161800000000002E-2</v>
      </c>
      <c r="U21">
        <v>2.5274000000000001E-2</v>
      </c>
      <c r="V21">
        <v>2.5595099999999999E-2</v>
      </c>
      <c r="W21">
        <v>2.9049499999999999E-2</v>
      </c>
      <c r="X21">
        <v>3.6357199999999999E-2</v>
      </c>
      <c r="Y21">
        <v>5.2722100000000001E-2</v>
      </c>
      <c r="Z21">
        <v>8.57097E-2</v>
      </c>
      <c r="AA21">
        <v>0.15146100000000001</v>
      </c>
      <c r="AB21">
        <v>0.28290700000000002</v>
      </c>
      <c r="AC21">
        <v>0.545844</v>
      </c>
      <c r="AD21">
        <v>1.0721400000000001</v>
      </c>
      <c r="AE21">
        <v>2.1233499999999998</v>
      </c>
      <c r="AF21">
        <v>4.2695100000000004</v>
      </c>
    </row>
    <row r="22" spans="1:32" x14ac:dyDescent="0.25">
      <c r="A22">
        <v>3.2951099999999997E-2</v>
      </c>
      <c r="B22">
        <v>3.5088000000000001E-2</v>
      </c>
      <c r="C22">
        <v>3.2717999999999997E-2</v>
      </c>
      <c r="D22">
        <v>3.2492300000000002E-2</v>
      </c>
      <c r="E22">
        <v>3.2407100000000001E-2</v>
      </c>
      <c r="F22">
        <v>3.4575000000000002E-2</v>
      </c>
      <c r="G22">
        <v>3.6641199999999999E-2</v>
      </c>
      <c r="H22">
        <v>4.3481600000000002E-2</v>
      </c>
      <c r="I22">
        <v>5.9855600000000002E-2</v>
      </c>
      <c r="J22">
        <v>9.1547699999999996E-2</v>
      </c>
      <c r="K22">
        <v>0.154811</v>
      </c>
      <c r="L22">
        <v>0.28206199999999998</v>
      </c>
      <c r="M22">
        <v>0.53740399999999999</v>
      </c>
      <c r="N22">
        <v>1.04742</v>
      </c>
      <c r="O22">
        <v>2.0655600000000001</v>
      </c>
      <c r="P22">
        <v>4.1056699999999999</v>
      </c>
      <c r="Q22">
        <v>2.4790599999999999E-2</v>
      </c>
      <c r="R22">
        <v>2.4926E-2</v>
      </c>
      <c r="S22">
        <v>2.4710800000000002E-2</v>
      </c>
      <c r="T22">
        <v>2.4995799999999999E-2</v>
      </c>
      <c r="U22">
        <v>2.5013199999999999E-2</v>
      </c>
      <c r="V22">
        <v>2.5821299999999998E-2</v>
      </c>
      <c r="W22">
        <v>2.8965899999999999E-2</v>
      </c>
      <c r="X22">
        <v>3.6299499999999998E-2</v>
      </c>
      <c r="Y22">
        <v>5.27684E-2</v>
      </c>
      <c r="Z22">
        <v>8.5731199999999994E-2</v>
      </c>
      <c r="AA22">
        <v>0.15151300000000001</v>
      </c>
      <c r="AB22">
        <v>0.283165</v>
      </c>
      <c r="AC22">
        <v>0.54587200000000002</v>
      </c>
      <c r="AD22">
        <v>1.0722499999999999</v>
      </c>
      <c r="AE22">
        <v>2.1235900000000001</v>
      </c>
      <c r="AF22">
        <v>4.2695600000000002</v>
      </c>
    </row>
    <row r="23" spans="1:32" x14ac:dyDescent="0.25">
      <c r="A23">
        <v>3.4983399999999998E-2</v>
      </c>
      <c r="B23">
        <v>3.2557500000000003E-2</v>
      </c>
      <c r="C23">
        <v>3.2703900000000001E-2</v>
      </c>
      <c r="D23">
        <v>3.2381100000000003E-2</v>
      </c>
      <c r="E23">
        <v>3.3055800000000003E-2</v>
      </c>
      <c r="F23">
        <v>3.3814200000000003E-2</v>
      </c>
      <c r="G23">
        <v>3.65703E-2</v>
      </c>
      <c r="H23">
        <v>4.4061400000000001E-2</v>
      </c>
      <c r="I23">
        <v>5.93611E-2</v>
      </c>
      <c r="J23">
        <v>9.13331E-2</v>
      </c>
      <c r="K23">
        <v>0.15450900000000001</v>
      </c>
      <c r="L23">
        <v>0.28187899999999999</v>
      </c>
      <c r="M23">
        <v>0.53754400000000002</v>
      </c>
      <c r="N23">
        <v>1.0471200000000001</v>
      </c>
      <c r="O23">
        <v>2.0655600000000001</v>
      </c>
      <c r="P23">
        <v>4.1049699999999998</v>
      </c>
      <c r="Q23">
        <v>2.4665900000000001E-2</v>
      </c>
      <c r="R23">
        <v>2.50317E-2</v>
      </c>
      <c r="S23">
        <v>2.4720300000000001E-2</v>
      </c>
      <c r="T23">
        <v>2.4856400000000001E-2</v>
      </c>
      <c r="U23">
        <v>2.5275100000000002E-2</v>
      </c>
      <c r="V23">
        <v>2.5905399999999999E-2</v>
      </c>
      <c r="W23">
        <v>2.8971199999999999E-2</v>
      </c>
      <c r="X23">
        <v>3.6509E-2</v>
      </c>
      <c r="Y23">
        <v>5.2468800000000003E-2</v>
      </c>
      <c r="Z23">
        <v>8.5447700000000001E-2</v>
      </c>
      <c r="AA23">
        <v>0.15157899999999999</v>
      </c>
      <c r="AB23">
        <v>0.28297499999999998</v>
      </c>
      <c r="AC23">
        <v>0.54608800000000002</v>
      </c>
      <c r="AD23">
        <v>1.0720099999999999</v>
      </c>
      <c r="AE23">
        <v>2.1237400000000002</v>
      </c>
      <c r="AF23">
        <v>4.2697500000000002</v>
      </c>
    </row>
    <row r="24" spans="1:32" x14ac:dyDescent="0.25">
      <c r="A24">
        <v>3.2365900000000003E-2</v>
      </c>
      <c r="B24">
        <v>3.2797699999999999E-2</v>
      </c>
      <c r="C24">
        <v>3.3408500000000001E-2</v>
      </c>
      <c r="D24">
        <v>3.19616E-2</v>
      </c>
      <c r="E24">
        <v>3.4850899999999997E-2</v>
      </c>
      <c r="F24">
        <v>3.2736500000000002E-2</v>
      </c>
      <c r="G24">
        <v>3.6852799999999998E-2</v>
      </c>
      <c r="H24">
        <v>4.3832900000000001E-2</v>
      </c>
      <c r="I24">
        <v>6.0052899999999999E-2</v>
      </c>
      <c r="J24">
        <v>9.1885999999999995E-2</v>
      </c>
      <c r="K24">
        <v>0.154999</v>
      </c>
      <c r="L24">
        <v>0.28238400000000002</v>
      </c>
      <c r="M24">
        <v>0.53727800000000003</v>
      </c>
      <c r="N24">
        <v>1.0469999999999999</v>
      </c>
      <c r="O24">
        <v>2.06562</v>
      </c>
      <c r="P24">
        <v>4.1044600000000004</v>
      </c>
      <c r="Q24">
        <v>2.47075E-2</v>
      </c>
      <c r="R24">
        <v>2.4909899999999999E-2</v>
      </c>
      <c r="S24">
        <v>2.42881E-2</v>
      </c>
      <c r="T24">
        <v>2.4952800000000001E-2</v>
      </c>
      <c r="U24">
        <v>2.5026E-2</v>
      </c>
      <c r="V24">
        <v>2.6051899999999999E-2</v>
      </c>
      <c r="W24">
        <v>2.90621E-2</v>
      </c>
      <c r="X24">
        <v>3.6520499999999997E-2</v>
      </c>
      <c r="Y24">
        <v>5.2499900000000002E-2</v>
      </c>
      <c r="Z24">
        <v>8.5847400000000004E-2</v>
      </c>
      <c r="AA24">
        <v>0.15165799999999999</v>
      </c>
      <c r="AB24">
        <v>0.28310200000000002</v>
      </c>
      <c r="AC24">
        <v>0.54577699999999996</v>
      </c>
      <c r="AD24">
        <v>1.07199</v>
      </c>
      <c r="AE24">
        <v>2.1256400000000002</v>
      </c>
      <c r="AF24">
        <v>4.2695600000000002</v>
      </c>
    </row>
    <row r="25" spans="1:32" x14ac:dyDescent="0.25">
      <c r="A25">
        <v>3.2056099999999997E-2</v>
      </c>
      <c r="B25">
        <v>3.4137000000000001E-2</v>
      </c>
      <c r="C25">
        <v>3.3110100000000003E-2</v>
      </c>
      <c r="D25">
        <v>3.2514700000000001E-2</v>
      </c>
      <c r="E25">
        <v>3.3358100000000002E-2</v>
      </c>
      <c r="F25">
        <v>3.3824100000000003E-2</v>
      </c>
      <c r="G25">
        <v>3.6597400000000002E-2</v>
      </c>
      <c r="H25">
        <v>4.3305900000000001E-2</v>
      </c>
      <c r="I25">
        <v>5.9252399999999997E-2</v>
      </c>
      <c r="J25">
        <v>9.1217900000000005E-2</v>
      </c>
      <c r="K25">
        <v>0.15503700000000001</v>
      </c>
      <c r="L25">
        <v>0.28233599999999998</v>
      </c>
      <c r="M25">
        <v>0.537296</v>
      </c>
      <c r="N25">
        <v>1.04705</v>
      </c>
      <c r="O25">
        <v>2.0652699999999999</v>
      </c>
      <c r="P25">
        <v>4.10527</v>
      </c>
      <c r="Q25">
        <v>2.49582E-2</v>
      </c>
      <c r="R25">
        <v>2.5040900000000001E-2</v>
      </c>
      <c r="S25">
        <v>2.4864799999999999E-2</v>
      </c>
      <c r="T25">
        <v>2.47455E-2</v>
      </c>
      <c r="U25">
        <v>2.50615E-2</v>
      </c>
      <c r="V25">
        <v>2.5909600000000001E-2</v>
      </c>
      <c r="W25">
        <v>2.8982899999999999E-2</v>
      </c>
      <c r="X25">
        <v>3.6089799999999998E-2</v>
      </c>
      <c r="Y25">
        <v>5.2737699999999998E-2</v>
      </c>
      <c r="Z25">
        <v>8.5697700000000002E-2</v>
      </c>
      <c r="AA25">
        <v>0.151731</v>
      </c>
      <c r="AB25">
        <v>0.28297499999999998</v>
      </c>
      <c r="AC25">
        <v>0.54609300000000005</v>
      </c>
      <c r="AD25">
        <v>1.0719000000000001</v>
      </c>
      <c r="AE25">
        <v>2.12297</v>
      </c>
      <c r="AF25">
        <v>4.2687099999999996</v>
      </c>
    </row>
    <row r="26" spans="1:32" x14ac:dyDescent="0.25">
      <c r="A26">
        <v>3.2487200000000001E-2</v>
      </c>
      <c r="B26">
        <v>3.3133599999999999E-2</v>
      </c>
      <c r="C26">
        <v>3.2965800000000003E-2</v>
      </c>
      <c r="D26">
        <v>3.2890500000000003E-2</v>
      </c>
      <c r="E26">
        <v>3.26076E-2</v>
      </c>
      <c r="F26">
        <v>3.4357400000000003E-2</v>
      </c>
      <c r="G26">
        <v>3.6512000000000003E-2</v>
      </c>
      <c r="H26">
        <v>4.3591900000000003E-2</v>
      </c>
      <c r="I26">
        <v>5.98437E-2</v>
      </c>
      <c r="J26">
        <v>9.1461799999999996E-2</v>
      </c>
      <c r="K26">
        <v>0.155006</v>
      </c>
      <c r="L26">
        <v>0.28283799999999998</v>
      </c>
      <c r="M26">
        <v>0.53742199999999996</v>
      </c>
      <c r="N26">
        <v>1.0472600000000001</v>
      </c>
      <c r="O26">
        <v>2.0648900000000001</v>
      </c>
      <c r="P26">
        <v>4.1046800000000001</v>
      </c>
      <c r="Q26">
        <v>2.4899600000000001E-2</v>
      </c>
      <c r="R26">
        <v>2.4691999999999999E-2</v>
      </c>
      <c r="S26">
        <v>2.4722899999999999E-2</v>
      </c>
      <c r="T26">
        <v>2.4796599999999999E-2</v>
      </c>
      <c r="U26">
        <v>2.4853799999999999E-2</v>
      </c>
      <c r="V26">
        <v>2.5842799999999999E-2</v>
      </c>
      <c r="W26">
        <v>2.90306E-2</v>
      </c>
      <c r="X26">
        <v>3.6708299999999999E-2</v>
      </c>
      <c r="Y26">
        <v>5.2631499999999998E-2</v>
      </c>
      <c r="Z26">
        <v>8.5574899999999995E-2</v>
      </c>
      <c r="AA26">
        <v>0.15168300000000001</v>
      </c>
      <c r="AB26">
        <v>0.28275800000000001</v>
      </c>
      <c r="AC26">
        <v>0.54587699999999995</v>
      </c>
      <c r="AD26">
        <v>1.07186</v>
      </c>
      <c r="AE26">
        <v>2.12338</v>
      </c>
      <c r="AF26">
        <v>4.2697700000000003</v>
      </c>
    </row>
    <row r="27" spans="1:32" x14ac:dyDescent="0.25">
      <c r="A27">
        <v>3.2192699999999998E-2</v>
      </c>
      <c r="B27">
        <v>3.26691E-2</v>
      </c>
      <c r="C27">
        <v>3.2717000000000003E-2</v>
      </c>
      <c r="D27">
        <v>3.2574100000000002E-2</v>
      </c>
      <c r="E27">
        <v>3.3272999999999997E-2</v>
      </c>
      <c r="F27">
        <v>3.32205E-2</v>
      </c>
      <c r="G27">
        <v>3.6784699999999997E-2</v>
      </c>
      <c r="H27">
        <v>4.3318799999999998E-2</v>
      </c>
      <c r="I27">
        <v>5.9414500000000002E-2</v>
      </c>
      <c r="J27">
        <v>9.1538700000000001E-2</v>
      </c>
      <c r="K27">
        <v>0.15492300000000001</v>
      </c>
      <c r="L27">
        <v>0.282584</v>
      </c>
      <c r="M27">
        <v>0.53717999999999999</v>
      </c>
      <c r="N27">
        <v>1.0466899999999999</v>
      </c>
      <c r="O27">
        <v>2.0649999999999999</v>
      </c>
      <c r="P27">
        <v>4.1050599999999999</v>
      </c>
      <c r="Q27">
        <v>2.5000499999999998E-2</v>
      </c>
      <c r="R27">
        <v>2.4875899999999999E-2</v>
      </c>
      <c r="S27">
        <v>2.50265E-2</v>
      </c>
      <c r="T27">
        <v>2.4946099999999999E-2</v>
      </c>
      <c r="U27">
        <v>2.4751599999999999E-2</v>
      </c>
      <c r="V27">
        <v>2.5781499999999999E-2</v>
      </c>
      <c r="W27">
        <v>2.86977E-2</v>
      </c>
      <c r="X27">
        <v>3.6484599999999999E-2</v>
      </c>
      <c r="Y27">
        <v>5.2492400000000002E-2</v>
      </c>
      <c r="Z27">
        <v>8.5702600000000004E-2</v>
      </c>
      <c r="AA27">
        <v>0.151501</v>
      </c>
      <c r="AB27">
        <v>0.28291300000000003</v>
      </c>
      <c r="AC27">
        <v>0.54602399999999995</v>
      </c>
      <c r="AD27">
        <v>1.0718799999999999</v>
      </c>
      <c r="AE27">
        <v>2.1231200000000001</v>
      </c>
      <c r="AF27">
        <v>4.2696699999999996</v>
      </c>
    </row>
    <row r="28" spans="1:32" x14ac:dyDescent="0.25">
      <c r="A28">
        <v>3.2775699999999998E-2</v>
      </c>
      <c r="B28">
        <v>3.2508099999999998E-2</v>
      </c>
      <c r="C28">
        <v>3.2812300000000003E-2</v>
      </c>
      <c r="D28">
        <v>3.2079299999999998E-2</v>
      </c>
      <c r="E28">
        <v>3.2472000000000001E-2</v>
      </c>
      <c r="F28">
        <v>3.3286999999999997E-2</v>
      </c>
      <c r="G28">
        <v>3.73811E-2</v>
      </c>
      <c r="H28">
        <v>4.3793499999999999E-2</v>
      </c>
      <c r="I28">
        <v>5.9645400000000001E-2</v>
      </c>
      <c r="J28">
        <v>9.2042499999999999E-2</v>
      </c>
      <c r="K28">
        <v>0.15504999999999999</v>
      </c>
      <c r="L28">
        <v>0.28249999999999997</v>
      </c>
      <c r="M28">
        <v>0.53705099999999995</v>
      </c>
      <c r="N28">
        <v>1.04714</v>
      </c>
      <c r="O28">
        <v>2.0656099999999999</v>
      </c>
      <c r="P28">
        <v>4.1042300000000003</v>
      </c>
      <c r="Q28">
        <v>2.5036699999999999E-2</v>
      </c>
      <c r="R28">
        <v>2.4497000000000001E-2</v>
      </c>
      <c r="S28">
        <v>2.4524600000000001E-2</v>
      </c>
      <c r="T28">
        <v>2.4984599999999999E-2</v>
      </c>
      <c r="U28">
        <v>2.48536E-2</v>
      </c>
      <c r="V28">
        <v>2.5919399999999999E-2</v>
      </c>
      <c r="W28">
        <v>2.9083999999999999E-2</v>
      </c>
      <c r="X28">
        <v>3.6478299999999998E-2</v>
      </c>
      <c r="Y28">
        <v>5.2562600000000001E-2</v>
      </c>
      <c r="Z28">
        <v>8.5727300000000006E-2</v>
      </c>
      <c r="AA28">
        <v>0.15158199999999999</v>
      </c>
      <c r="AB28">
        <v>0.28299800000000003</v>
      </c>
      <c r="AC28">
        <v>0.54596699999999998</v>
      </c>
      <c r="AD28">
        <v>1.0721799999999999</v>
      </c>
      <c r="AE28">
        <v>2.1234500000000001</v>
      </c>
      <c r="AF28">
        <v>4.2696500000000004</v>
      </c>
    </row>
    <row r="29" spans="1:32" x14ac:dyDescent="0.25">
      <c r="A29">
        <v>3.2555500000000001E-2</v>
      </c>
      <c r="B29">
        <v>3.2474599999999999E-2</v>
      </c>
      <c r="C29">
        <v>3.2467299999999998E-2</v>
      </c>
      <c r="D29">
        <v>3.2101499999999998E-2</v>
      </c>
      <c r="E29">
        <v>3.23863E-2</v>
      </c>
      <c r="F29">
        <v>3.2835900000000001E-2</v>
      </c>
      <c r="G29">
        <v>3.6371199999999999E-2</v>
      </c>
      <c r="H29">
        <v>4.3995899999999998E-2</v>
      </c>
      <c r="I29">
        <v>5.8783299999999997E-2</v>
      </c>
      <c r="J29">
        <v>9.1725200000000007E-2</v>
      </c>
      <c r="K29">
        <v>0.15528500000000001</v>
      </c>
      <c r="L29">
        <v>0.28239999999999998</v>
      </c>
      <c r="M29">
        <v>0.53704099999999999</v>
      </c>
      <c r="N29">
        <v>1.0469999999999999</v>
      </c>
      <c r="O29">
        <v>2.0652499999999998</v>
      </c>
      <c r="P29">
        <v>4.1047799999999999</v>
      </c>
      <c r="Q29">
        <v>2.4625500000000002E-2</v>
      </c>
      <c r="R29">
        <v>2.4711400000000001E-2</v>
      </c>
      <c r="S29">
        <v>2.4607199999999999E-2</v>
      </c>
      <c r="T29">
        <v>2.4518399999999999E-2</v>
      </c>
      <c r="U29">
        <v>2.4878500000000001E-2</v>
      </c>
      <c r="V29">
        <v>2.56779E-2</v>
      </c>
      <c r="W29">
        <v>2.9114000000000001E-2</v>
      </c>
      <c r="X29">
        <v>3.6698799999999997E-2</v>
      </c>
      <c r="Y29">
        <v>5.2979499999999999E-2</v>
      </c>
      <c r="Z29">
        <v>8.5893700000000003E-2</v>
      </c>
      <c r="AA29">
        <v>0.151619</v>
      </c>
      <c r="AB29">
        <v>0.28301799999999999</v>
      </c>
      <c r="AC29">
        <v>0.54601699999999997</v>
      </c>
      <c r="AD29">
        <v>1.07186</v>
      </c>
      <c r="AE29">
        <v>2.1228899999999999</v>
      </c>
      <c r="AF29">
        <v>4.26973</v>
      </c>
    </row>
    <row r="30" spans="1:32" x14ac:dyDescent="0.25">
      <c r="A30">
        <v>3.2136699999999997E-2</v>
      </c>
      <c r="B30">
        <v>3.25381E-2</v>
      </c>
      <c r="C30">
        <v>3.2424000000000001E-2</v>
      </c>
      <c r="D30">
        <v>3.2344699999999997E-2</v>
      </c>
      <c r="E30">
        <v>3.2184699999999997E-2</v>
      </c>
      <c r="F30">
        <v>3.2950899999999998E-2</v>
      </c>
      <c r="G30">
        <v>3.6866900000000001E-2</v>
      </c>
      <c r="H30">
        <v>4.39487E-2</v>
      </c>
      <c r="I30">
        <v>5.9630700000000002E-2</v>
      </c>
      <c r="J30">
        <v>9.1248300000000004E-2</v>
      </c>
      <c r="K30">
        <v>0.155171</v>
      </c>
      <c r="L30">
        <v>0.28262799999999999</v>
      </c>
      <c r="M30">
        <v>0.536887</v>
      </c>
      <c r="N30">
        <v>1.0479000000000001</v>
      </c>
      <c r="O30">
        <v>2.0647199999999999</v>
      </c>
      <c r="P30">
        <v>4.1048299999999998</v>
      </c>
      <c r="Q30">
        <v>2.4561300000000001E-2</v>
      </c>
      <c r="R30">
        <v>2.4509599999999999E-2</v>
      </c>
      <c r="S30">
        <v>2.50266E-2</v>
      </c>
      <c r="T30">
        <v>2.4837000000000001E-2</v>
      </c>
      <c r="U30">
        <v>2.5011100000000001E-2</v>
      </c>
      <c r="V30">
        <v>2.5656399999999999E-2</v>
      </c>
      <c r="W30">
        <v>2.9274000000000001E-2</v>
      </c>
      <c r="X30">
        <v>3.6404699999999998E-2</v>
      </c>
      <c r="Y30">
        <v>5.2963299999999998E-2</v>
      </c>
      <c r="Z30">
        <v>8.5760699999999995E-2</v>
      </c>
      <c r="AA30">
        <v>0.15160199999999999</v>
      </c>
      <c r="AB30">
        <v>0.28311199999999997</v>
      </c>
      <c r="AC30">
        <v>0.54594699999999996</v>
      </c>
      <c r="AD30">
        <v>1.0719099999999999</v>
      </c>
      <c r="AE30">
        <v>2.12344</v>
      </c>
      <c r="AF30">
        <v>4.2702099999999996</v>
      </c>
    </row>
    <row r="31" spans="1:32" x14ac:dyDescent="0.25">
      <c r="A31">
        <v>3.3481799999999999E-2</v>
      </c>
      <c r="B31">
        <v>3.2579400000000001E-2</v>
      </c>
      <c r="C31">
        <v>3.2620299999999998E-2</v>
      </c>
      <c r="D31">
        <v>3.2435800000000001E-2</v>
      </c>
      <c r="E31">
        <v>3.2745299999999998E-2</v>
      </c>
      <c r="F31">
        <v>3.2717400000000001E-2</v>
      </c>
      <c r="G31">
        <v>3.6891800000000002E-2</v>
      </c>
      <c r="H31">
        <v>4.37834E-2</v>
      </c>
      <c r="I31">
        <v>5.9073300000000002E-2</v>
      </c>
      <c r="J31">
        <v>9.0962100000000004E-2</v>
      </c>
      <c r="K31">
        <v>0.15542400000000001</v>
      </c>
      <c r="L31">
        <v>0.284022</v>
      </c>
      <c r="M31">
        <v>0.53727599999999998</v>
      </c>
      <c r="N31">
        <v>1.04721</v>
      </c>
      <c r="O31">
        <v>2.0656099999999999</v>
      </c>
      <c r="P31">
        <v>4.1049899999999999</v>
      </c>
      <c r="Q31">
        <v>2.4734099999999998E-2</v>
      </c>
      <c r="R31">
        <v>2.46772E-2</v>
      </c>
      <c r="S31">
        <v>2.4750399999999999E-2</v>
      </c>
      <c r="T31">
        <v>2.4503400000000002E-2</v>
      </c>
      <c r="U31">
        <v>2.49424E-2</v>
      </c>
      <c r="V31">
        <v>2.57795E-2</v>
      </c>
      <c r="W31">
        <v>2.9360899999999999E-2</v>
      </c>
      <c r="X31">
        <v>3.67269E-2</v>
      </c>
      <c r="Y31">
        <v>5.2666900000000003E-2</v>
      </c>
      <c r="Z31">
        <v>8.5832500000000006E-2</v>
      </c>
      <c r="AA31">
        <v>0.15149199999999999</v>
      </c>
      <c r="AB31">
        <v>0.28304699999999999</v>
      </c>
      <c r="AC31">
        <v>0.54595000000000005</v>
      </c>
      <c r="AD31">
        <v>1.0719700000000001</v>
      </c>
      <c r="AE31">
        <v>2.1238800000000002</v>
      </c>
      <c r="AF31">
        <v>4.2704700000000004</v>
      </c>
    </row>
    <row r="32" spans="1:32" x14ac:dyDescent="0.25">
      <c r="A32">
        <v>3.3547300000000002E-2</v>
      </c>
      <c r="B32">
        <v>3.1681500000000001E-2</v>
      </c>
      <c r="C32">
        <v>3.4799700000000003E-2</v>
      </c>
      <c r="D32">
        <v>3.2776100000000002E-2</v>
      </c>
      <c r="E32">
        <v>3.2496799999999999E-2</v>
      </c>
      <c r="F32">
        <v>3.3362700000000002E-2</v>
      </c>
      <c r="G32">
        <v>3.7119300000000001E-2</v>
      </c>
      <c r="H32">
        <v>4.4167400000000002E-2</v>
      </c>
      <c r="I32">
        <v>5.9778499999999998E-2</v>
      </c>
      <c r="J32">
        <v>9.1894699999999996E-2</v>
      </c>
      <c r="K32">
        <v>0.15501300000000001</v>
      </c>
      <c r="L32">
        <v>0.28242099999999998</v>
      </c>
      <c r="M32">
        <v>0.53747699999999998</v>
      </c>
      <c r="N32">
        <v>1.04728</v>
      </c>
      <c r="O32">
        <v>2.06582</v>
      </c>
      <c r="P32">
        <v>4.1048799999999996</v>
      </c>
      <c r="Q32">
        <v>2.5004100000000001E-2</v>
      </c>
      <c r="R32">
        <v>2.4684000000000001E-2</v>
      </c>
      <c r="S32">
        <v>2.5051299999999999E-2</v>
      </c>
      <c r="T32">
        <v>2.4660600000000001E-2</v>
      </c>
      <c r="U32">
        <v>2.5367899999999999E-2</v>
      </c>
      <c r="V32">
        <v>2.57369E-2</v>
      </c>
      <c r="W32">
        <v>2.91223E-2</v>
      </c>
      <c r="X32">
        <v>3.7017300000000003E-2</v>
      </c>
      <c r="Y32">
        <v>5.2707400000000001E-2</v>
      </c>
      <c r="Z32">
        <v>8.5953799999999997E-2</v>
      </c>
      <c r="AA32">
        <v>0.15140700000000001</v>
      </c>
      <c r="AB32">
        <v>0.282279</v>
      </c>
      <c r="AC32">
        <v>0.54608000000000001</v>
      </c>
      <c r="AD32">
        <v>1.07185</v>
      </c>
      <c r="AE32">
        <v>2.1233399999999998</v>
      </c>
      <c r="AF32">
        <v>4.2696800000000001</v>
      </c>
    </row>
    <row r="33" spans="1:32" x14ac:dyDescent="0.25">
      <c r="A33">
        <v>3.2602399999999997E-2</v>
      </c>
      <c r="B33">
        <v>3.28407E-2</v>
      </c>
      <c r="C33">
        <v>3.2950199999999999E-2</v>
      </c>
      <c r="D33">
        <v>3.2508500000000003E-2</v>
      </c>
      <c r="E33">
        <v>3.2482799999999999E-2</v>
      </c>
      <c r="F33">
        <v>3.3501400000000001E-2</v>
      </c>
      <c r="G33">
        <v>3.64132E-2</v>
      </c>
      <c r="H33">
        <v>4.3701999999999998E-2</v>
      </c>
      <c r="I33">
        <v>5.9308399999999997E-2</v>
      </c>
      <c r="J33">
        <v>9.14272E-2</v>
      </c>
      <c r="K33">
        <v>0.154645</v>
      </c>
      <c r="L33">
        <v>0.28239799999999998</v>
      </c>
      <c r="M33">
        <v>0.53738600000000003</v>
      </c>
      <c r="N33">
        <v>1.0470200000000001</v>
      </c>
      <c r="O33">
        <v>2.06603</v>
      </c>
      <c r="P33">
        <v>4.1052799999999996</v>
      </c>
      <c r="Q33">
        <v>2.4911200000000001E-2</v>
      </c>
      <c r="R33">
        <v>2.46328E-2</v>
      </c>
      <c r="S33">
        <v>2.4825900000000001E-2</v>
      </c>
      <c r="T33">
        <v>2.5067800000000001E-2</v>
      </c>
      <c r="U33">
        <v>2.5487200000000002E-2</v>
      </c>
      <c r="V33">
        <v>2.56265E-2</v>
      </c>
      <c r="W33">
        <v>2.8945100000000001E-2</v>
      </c>
      <c r="X33">
        <v>3.6282599999999998E-2</v>
      </c>
      <c r="Y33">
        <v>5.2641800000000002E-2</v>
      </c>
      <c r="Z33">
        <v>8.5733299999999998E-2</v>
      </c>
      <c r="AA33">
        <v>0.151446</v>
      </c>
      <c r="AB33">
        <v>0.28319100000000003</v>
      </c>
      <c r="AC33">
        <v>0.54597899999999999</v>
      </c>
      <c r="AD33">
        <v>1.0721000000000001</v>
      </c>
      <c r="AE33">
        <v>2.1241099999999999</v>
      </c>
      <c r="AF33">
        <v>4.2688499999999996</v>
      </c>
    </row>
    <row r="34" spans="1:32" x14ac:dyDescent="0.25">
      <c r="A34">
        <v>3.3155499999999997E-2</v>
      </c>
      <c r="B34">
        <v>3.2233900000000003E-2</v>
      </c>
      <c r="C34">
        <v>3.2458800000000003E-2</v>
      </c>
      <c r="D34">
        <v>3.2256800000000002E-2</v>
      </c>
      <c r="E34">
        <v>3.2941699999999997E-2</v>
      </c>
      <c r="F34">
        <v>3.3159899999999999E-2</v>
      </c>
      <c r="G34">
        <v>3.6285699999999997E-2</v>
      </c>
      <c r="H34">
        <v>4.3583799999999999E-2</v>
      </c>
      <c r="I34">
        <v>5.9402200000000002E-2</v>
      </c>
      <c r="J34">
        <v>9.1786199999999998E-2</v>
      </c>
      <c r="K34">
        <v>0.15535599999999999</v>
      </c>
      <c r="L34">
        <v>0.28271299999999999</v>
      </c>
      <c r="M34">
        <v>0.53724099999999997</v>
      </c>
      <c r="N34">
        <v>1.04695</v>
      </c>
      <c r="O34">
        <v>2.0661700000000001</v>
      </c>
      <c r="P34">
        <v>4.10473</v>
      </c>
      <c r="Q34">
        <v>2.4573600000000001E-2</v>
      </c>
      <c r="R34">
        <v>2.4784E-2</v>
      </c>
      <c r="S34">
        <v>2.4614199999999999E-2</v>
      </c>
      <c r="T34">
        <v>2.50289E-2</v>
      </c>
      <c r="U34">
        <v>2.5304900000000002E-2</v>
      </c>
      <c r="V34">
        <v>2.58228E-2</v>
      </c>
      <c r="W34">
        <v>2.91486E-2</v>
      </c>
      <c r="X34">
        <v>3.6700000000000003E-2</v>
      </c>
      <c r="Y34">
        <v>5.2655300000000002E-2</v>
      </c>
      <c r="Z34">
        <v>8.5567599999999994E-2</v>
      </c>
      <c r="AA34">
        <v>0.15143799999999999</v>
      </c>
      <c r="AB34">
        <v>0.28323399999999999</v>
      </c>
      <c r="AC34">
        <v>0.54578899999999997</v>
      </c>
      <c r="AD34">
        <v>1.0719399999999999</v>
      </c>
      <c r="AE34">
        <v>2.1237300000000001</v>
      </c>
      <c r="AF34">
        <v>4.26973</v>
      </c>
    </row>
    <row r="35" spans="1:32" x14ac:dyDescent="0.25">
      <c r="A35">
        <v>3.2958899999999999E-2</v>
      </c>
      <c r="B35">
        <v>3.2427699999999997E-2</v>
      </c>
      <c r="C35">
        <v>3.3087800000000001E-2</v>
      </c>
      <c r="D35">
        <v>3.2560600000000002E-2</v>
      </c>
      <c r="E35">
        <v>3.2204000000000003E-2</v>
      </c>
      <c r="F35">
        <v>3.3868200000000001E-2</v>
      </c>
      <c r="G35">
        <v>3.7117700000000003E-2</v>
      </c>
      <c r="H35">
        <v>4.3447300000000001E-2</v>
      </c>
      <c r="I35">
        <v>5.9006500000000003E-2</v>
      </c>
      <c r="J35">
        <v>9.1733200000000001E-2</v>
      </c>
      <c r="K35">
        <v>0.15537300000000001</v>
      </c>
      <c r="L35">
        <v>0.28264600000000001</v>
      </c>
      <c r="M35">
        <v>0.53709499999999999</v>
      </c>
      <c r="N35">
        <v>1.04708</v>
      </c>
      <c r="O35">
        <v>2.0651799999999998</v>
      </c>
      <c r="P35">
        <v>4.1047099999999999</v>
      </c>
      <c r="Q35">
        <v>2.4820399999999999E-2</v>
      </c>
      <c r="R35">
        <v>2.50079E-2</v>
      </c>
      <c r="S35">
        <v>2.4920500000000002E-2</v>
      </c>
      <c r="T35">
        <v>2.4921499999999999E-2</v>
      </c>
      <c r="U35">
        <v>2.4887099999999999E-2</v>
      </c>
      <c r="V35">
        <v>2.5564799999999999E-2</v>
      </c>
      <c r="W35">
        <v>2.9265599999999999E-2</v>
      </c>
      <c r="X35">
        <v>3.6665499999999997E-2</v>
      </c>
      <c r="Y35">
        <v>5.2642300000000003E-2</v>
      </c>
      <c r="Z35">
        <v>8.57266E-2</v>
      </c>
      <c r="AA35">
        <v>0.15167</v>
      </c>
      <c r="AB35">
        <v>0.28306399999999998</v>
      </c>
      <c r="AC35">
        <v>0.54622199999999999</v>
      </c>
      <c r="AD35">
        <v>1.0720799999999999</v>
      </c>
      <c r="AE35">
        <v>2.1232099999999998</v>
      </c>
      <c r="AF35">
        <v>4.2693000000000003</v>
      </c>
    </row>
    <row r="36" spans="1:32" x14ac:dyDescent="0.25">
      <c r="A36">
        <v>3.2483100000000001E-2</v>
      </c>
      <c r="B36">
        <v>3.24138E-2</v>
      </c>
      <c r="C36">
        <v>3.3405900000000002E-2</v>
      </c>
      <c r="D36">
        <v>3.2705100000000001E-2</v>
      </c>
      <c r="E36">
        <v>3.2758299999999997E-2</v>
      </c>
      <c r="F36">
        <v>3.3243500000000002E-2</v>
      </c>
      <c r="G36">
        <v>3.6211699999999999E-2</v>
      </c>
      <c r="H36">
        <v>4.3928599999999998E-2</v>
      </c>
      <c r="I36">
        <v>5.9548499999999997E-2</v>
      </c>
      <c r="J36">
        <v>9.1384199999999999E-2</v>
      </c>
      <c r="K36">
        <v>0.15459400000000001</v>
      </c>
      <c r="L36">
        <v>0.28217999999999999</v>
      </c>
      <c r="M36">
        <v>0.53738200000000003</v>
      </c>
      <c r="N36">
        <v>1.0472300000000001</v>
      </c>
      <c r="O36">
        <v>2.0663399999999998</v>
      </c>
      <c r="P36">
        <v>4.1050199999999997</v>
      </c>
      <c r="Q36">
        <v>2.4905199999999999E-2</v>
      </c>
      <c r="R36">
        <v>2.51048E-2</v>
      </c>
      <c r="S36">
        <v>2.4938100000000001E-2</v>
      </c>
      <c r="T36">
        <v>2.48027E-2</v>
      </c>
      <c r="U36">
        <v>2.50289E-2</v>
      </c>
      <c r="V36">
        <v>2.5593600000000001E-2</v>
      </c>
      <c r="W36">
        <v>2.91293E-2</v>
      </c>
      <c r="X36">
        <v>3.6507900000000003E-2</v>
      </c>
      <c r="Y36">
        <v>5.2690500000000001E-2</v>
      </c>
      <c r="Z36">
        <v>8.5868299999999995E-2</v>
      </c>
      <c r="AA36">
        <v>0.15165999999999999</v>
      </c>
      <c r="AB36">
        <v>0.28312100000000001</v>
      </c>
      <c r="AC36">
        <v>0.54588099999999995</v>
      </c>
      <c r="AD36">
        <v>1.07212</v>
      </c>
      <c r="AE36">
        <v>2.1244399999999999</v>
      </c>
      <c r="AF36">
        <v>4.26973</v>
      </c>
    </row>
    <row r="37" spans="1:32" x14ac:dyDescent="0.25">
      <c r="A37">
        <v>3.2406299999999999E-2</v>
      </c>
      <c r="B37">
        <v>3.2098700000000001E-2</v>
      </c>
      <c r="C37">
        <v>3.35009E-2</v>
      </c>
      <c r="D37">
        <v>3.3459599999999999E-2</v>
      </c>
      <c r="E37">
        <v>3.3032499999999999E-2</v>
      </c>
      <c r="F37">
        <v>3.3223799999999998E-2</v>
      </c>
      <c r="G37">
        <v>3.6817099999999998E-2</v>
      </c>
      <c r="H37">
        <v>4.4110900000000001E-2</v>
      </c>
      <c r="I37">
        <v>5.9022600000000001E-2</v>
      </c>
      <c r="J37">
        <v>9.11888E-2</v>
      </c>
      <c r="K37">
        <v>0.15511900000000001</v>
      </c>
      <c r="L37">
        <v>0.28243200000000002</v>
      </c>
      <c r="M37">
        <v>0.53722300000000001</v>
      </c>
      <c r="N37">
        <v>1.04684</v>
      </c>
      <c r="O37">
        <v>2.06589</v>
      </c>
      <c r="P37">
        <v>4.1052299999999997</v>
      </c>
      <c r="Q37">
        <v>2.4614899999999999E-2</v>
      </c>
      <c r="R37">
        <v>2.4939099999999999E-2</v>
      </c>
      <c r="S37">
        <v>2.4812399999999998E-2</v>
      </c>
      <c r="T37">
        <v>2.4757999999999999E-2</v>
      </c>
      <c r="U37">
        <v>2.4789800000000001E-2</v>
      </c>
      <c r="V37">
        <v>2.5692E-2</v>
      </c>
      <c r="W37">
        <v>2.9120699999999999E-2</v>
      </c>
      <c r="X37">
        <v>3.6692799999999998E-2</v>
      </c>
      <c r="Y37">
        <v>5.2809799999999997E-2</v>
      </c>
      <c r="Z37">
        <v>8.5644100000000001E-2</v>
      </c>
      <c r="AA37">
        <v>0.15146299999999999</v>
      </c>
      <c r="AB37">
        <v>0.28300599999999998</v>
      </c>
      <c r="AC37">
        <v>0.54597399999999996</v>
      </c>
      <c r="AD37">
        <v>1.0721400000000001</v>
      </c>
      <c r="AE37">
        <v>2.1235499999999998</v>
      </c>
      <c r="AF37">
        <v>4.2690200000000003</v>
      </c>
    </row>
    <row r="38" spans="1:32" x14ac:dyDescent="0.25">
      <c r="A38">
        <v>3.2842499999999997E-2</v>
      </c>
      <c r="B38">
        <v>3.2521500000000002E-2</v>
      </c>
      <c r="C38">
        <v>3.2188899999999999E-2</v>
      </c>
      <c r="D38">
        <v>3.2643699999999998E-2</v>
      </c>
      <c r="E38">
        <v>3.2876299999999997E-2</v>
      </c>
      <c r="F38">
        <v>3.3297199999999999E-2</v>
      </c>
      <c r="G38">
        <v>3.63881E-2</v>
      </c>
      <c r="H38">
        <v>4.4504299999999997E-2</v>
      </c>
      <c r="I38">
        <v>5.9253500000000001E-2</v>
      </c>
      <c r="J38">
        <v>9.1209399999999996E-2</v>
      </c>
      <c r="K38">
        <v>0.15507299999999999</v>
      </c>
      <c r="L38">
        <v>0.28275299999999998</v>
      </c>
      <c r="M38">
        <v>0.53734700000000002</v>
      </c>
      <c r="N38">
        <v>1.0469599999999999</v>
      </c>
      <c r="O38">
        <v>2.0659200000000002</v>
      </c>
      <c r="P38">
        <v>4.1046199999999997</v>
      </c>
      <c r="Q38">
        <v>2.4565400000000001E-2</v>
      </c>
      <c r="R38">
        <v>2.4963300000000001E-2</v>
      </c>
      <c r="S38">
        <v>2.4937399999999998E-2</v>
      </c>
      <c r="T38">
        <v>2.45282E-2</v>
      </c>
      <c r="U38">
        <v>2.4840000000000001E-2</v>
      </c>
      <c r="V38">
        <v>2.5786400000000001E-2</v>
      </c>
      <c r="W38">
        <v>2.9336399999999999E-2</v>
      </c>
      <c r="X38">
        <v>3.6630799999999998E-2</v>
      </c>
      <c r="Y38">
        <v>5.2751800000000001E-2</v>
      </c>
      <c r="Z38">
        <v>8.5672700000000004E-2</v>
      </c>
      <c r="AA38">
        <v>0.151447</v>
      </c>
      <c r="AB38">
        <v>0.28258299999999997</v>
      </c>
      <c r="AC38">
        <v>0.54579299999999997</v>
      </c>
      <c r="AD38">
        <v>1.0720099999999999</v>
      </c>
      <c r="AE38">
        <v>2.1237900000000001</v>
      </c>
      <c r="AF38">
        <v>4.2696300000000003</v>
      </c>
    </row>
    <row r="39" spans="1:32" x14ac:dyDescent="0.25">
      <c r="A39">
        <v>3.2462999999999999E-2</v>
      </c>
      <c r="B39">
        <v>3.22869E-2</v>
      </c>
      <c r="C39">
        <v>3.3045199999999997E-2</v>
      </c>
      <c r="D39">
        <v>3.2622699999999998E-2</v>
      </c>
      <c r="E39">
        <v>3.3705300000000001E-2</v>
      </c>
      <c r="F39">
        <v>3.2927499999999998E-2</v>
      </c>
      <c r="G39">
        <v>3.6611100000000001E-2</v>
      </c>
      <c r="H39">
        <v>4.4064800000000001E-2</v>
      </c>
      <c r="I39">
        <v>5.9559300000000003E-2</v>
      </c>
      <c r="J39">
        <v>9.0746900000000005E-2</v>
      </c>
      <c r="K39">
        <v>0.15438499999999999</v>
      </c>
      <c r="L39">
        <v>0.28257300000000002</v>
      </c>
      <c r="M39">
        <v>0.53731499999999999</v>
      </c>
      <c r="N39">
        <v>1.04714</v>
      </c>
      <c r="O39">
        <v>2.0649099999999998</v>
      </c>
      <c r="P39">
        <v>4.1056999999999997</v>
      </c>
      <c r="Q39">
        <v>2.46515E-2</v>
      </c>
      <c r="R39">
        <v>2.47274E-2</v>
      </c>
      <c r="S39">
        <v>2.5122100000000001E-2</v>
      </c>
      <c r="T39">
        <v>2.4823499999999998E-2</v>
      </c>
      <c r="U39">
        <v>2.5328099999999999E-2</v>
      </c>
      <c r="V39">
        <v>2.5698700000000001E-2</v>
      </c>
      <c r="W39">
        <v>2.9045100000000001E-2</v>
      </c>
      <c r="X39">
        <v>3.66685E-2</v>
      </c>
      <c r="Y39">
        <v>5.26147E-2</v>
      </c>
      <c r="Z39">
        <v>8.56127E-2</v>
      </c>
      <c r="AA39">
        <v>0.151591</v>
      </c>
      <c r="AB39">
        <v>0.28301500000000002</v>
      </c>
      <c r="AC39">
        <v>0.54581500000000005</v>
      </c>
      <c r="AD39">
        <v>1.07212</v>
      </c>
      <c r="AE39">
        <v>2.1227999999999998</v>
      </c>
      <c r="AF39">
        <v>4.2697500000000002</v>
      </c>
    </row>
    <row r="40" spans="1:32" x14ac:dyDescent="0.25">
      <c r="A40">
        <v>3.2495799999999998E-2</v>
      </c>
      <c r="B40">
        <v>3.23764E-2</v>
      </c>
      <c r="C40">
        <v>3.3609E-2</v>
      </c>
      <c r="D40">
        <v>3.2874500000000001E-2</v>
      </c>
      <c r="E40">
        <v>3.3218499999999998E-2</v>
      </c>
      <c r="F40">
        <v>3.2588699999999998E-2</v>
      </c>
      <c r="G40">
        <v>3.6594399999999999E-2</v>
      </c>
      <c r="H40">
        <v>4.3966900000000003E-2</v>
      </c>
      <c r="I40">
        <v>5.9134199999999998E-2</v>
      </c>
      <c r="J40">
        <v>9.0884000000000006E-2</v>
      </c>
      <c r="K40">
        <v>0.15453</v>
      </c>
      <c r="L40">
        <v>0.282474</v>
      </c>
      <c r="M40">
        <v>0.53766499999999995</v>
      </c>
      <c r="N40">
        <v>1.0462499999999999</v>
      </c>
      <c r="O40">
        <v>2.06562</v>
      </c>
      <c r="P40">
        <v>4.1059299999999999</v>
      </c>
      <c r="Q40">
        <v>2.46866E-2</v>
      </c>
      <c r="R40">
        <v>2.4886100000000001E-2</v>
      </c>
      <c r="S40">
        <v>2.49891E-2</v>
      </c>
      <c r="T40">
        <v>2.50317E-2</v>
      </c>
      <c r="U40">
        <v>2.51621E-2</v>
      </c>
      <c r="V40">
        <v>2.5667200000000001E-2</v>
      </c>
      <c r="W40">
        <v>2.90481E-2</v>
      </c>
      <c r="X40">
        <v>3.6450099999999999E-2</v>
      </c>
      <c r="Y40">
        <v>5.2832999999999998E-2</v>
      </c>
      <c r="Z40">
        <v>8.5711899999999994E-2</v>
      </c>
      <c r="AA40">
        <v>0.15143400000000001</v>
      </c>
      <c r="AB40">
        <v>0.28333399999999997</v>
      </c>
      <c r="AC40">
        <v>0.54576899999999995</v>
      </c>
      <c r="AD40">
        <v>1.0721400000000001</v>
      </c>
      <c r="AE40">
        <v>2.1236799999999998</v>
      </c>
      <c r="AF40">
        <v>4.2693000000000003</v>
      </c>
    </row>
    <row r="41" spans="1:32" x14ac:dyDescent="0.25">
      <c r="A41">
        <v>3.2756899999999999E-2</v>
      </c>
      <c r="B41">
        <v>3.1934799999999999E-2</v>
      </c>
      <c r="C41">
        <v>3.3553800000000002E-2</v>
      </c>
      <c r="D41">
        <v>3.24973E-2</v>
      </c>
      <c r="E41">
        <v>3.3820999999999997E-2</v>
      </c>
      <c r="F41">
        <v>3.2539400000000003E-2</v>
      </c>
      <c r="G41">
        <v>3.6403600000000001E-2</v>
      </c>
      <c r="H41">
        <v>4.3970700000000001E-2</v>
      </c>
      <c r="I41">
        <v>5.97788E-2</v>
      </c>
      <c r="J41">
        <v>9.1342400000000004E-2</v>
      </c>
      <c r="K41">
        <v>0.15515799999999999</v>
      </c>
      <c r="L41">
        <v>0.28255400000000003</v>
      </c>
      <c r="M41">
        <v>0.53672399999999998</v>
      </c>
      <c r="N41">
        <v>1.0470299999999999</v>
      </c>
      <c r="O41">
        <v>2.06596</v>
      </c>
      <c r="P41">
        <v>4.1051500000000001</v>
      </c>
      <c r="Q41">
        <v>2.46264E-2</v>
      </c>
      <c r="R41">
        <v>2.4895400000000002E-2</v>
      </c>
      <c r="S41">
        <v>2.49436E-2</v>
      </c>
      <c r="T41">
        <v>2.5029699999999998E-2</v>
      </c>
      <c r="U41">
        <v>2.49816E-2</v>
      </c>
      <c r="V41">
        <v>2.5665400000000001E-2</v>
      </c>
      <c r="W41">
        <v>2.9075299999999998E-2</v>
      </c>
      <c r="X41">
        <v>3.6740500000000002E-2</v>
      </c>
      <c r="Y41">
        <v>5.2802799999999997E-2</v>
      </c>
      <c r="Z41">
        <v>8.5689199999999993E-2</v>
      </c>
      <c r="AA41">
        <v>0.151584</v>
      </c>
      <c r="AB41">
        <v>0.28309899999999999</v>
      </c>
      <c r="AC41">
        <v>0.54593599999999998</v>
      </c>
      <c r="AD41">
        <v>1.07206</v>
      </c>
      <c r="AE41">
        <v>2.1231300000000002</v>
      </c>
      <c r="AF41">
        <v>4.2693399999999997</v>
      </c>
    </row>
    <row r="42" spans="1:32" x14ac:dyDescent="0.25">
      <c r="A42">
        <v>3.2343900000000002E-2</v>
      </c>
      <c r="B42">
        <v>3.2064700000000002E-2</v>
      </c>
      <c r="C42">
        <v>3.2379100000000001E-2</v>
      </c>
      <c r="D42">
        <v>3.2642400000000002E-2</v>
      </c>
      <c r="E42">
        <v>3.3099499999999997E-2</v>
      </c>
      <c r="F42">
        <v>3.2883799999999998E-2</v>
      </c>
      <c r="G42">
        <v>3.6837799999999997E-2</v>
      </c>
      <c r="H42">
        <v>4.3462300000000002E-2</v>
      </c>
      <c r="I42">
        <v>5.9545899999999999E-2</v>
      </c>
      <c r="J42">
        <v>9.1627600000000003E-2</v>
      </c>
      <c r="K42">
        <v>0.15482299999999999</v>
      </c>
      <c r="L42">
        <v>0.28276299999999999</v>
      </c>
      <c r="M42">
        <v>0.53747400000000001</v>
      </c>
      <c r="N42">
        <v>1.04732</v>
      </c>
      <c r="O42">
        <v>2.0653100000000002</v>
      </c>
      <c r="P42">
        <v>4.1049899999999999</v>
      </c>
      <c r="Q42">
        <v>2.4736999999999999E-2</v>
      </c>
      <c r="R42">
        <v>2.4546599999999998E-2</v>
      </c>
      <c r="S42">
        <v>2.4761200000000001E-2</v>
      </c>
      <c r="T42">
        <v>2.57322E-2</v>
      </c>
      <c r="U42">
        <v>2.54606E-2</v>
      </c>
      <c r="V42">
        <v>2.5656399999999999E-2</v>
      </c>
      <c r="W42">
        <v>2.9215600000000001E-2</v>
      </c>
      <c r="X42">
        <v>3.6563400000000003E-2</v>
      </c>
      <c r="Y42">
        <v>5.2525799999999997E-2</v>
      </c>
      <c r="Z42">
        <v>8.5535899999999998E-2</v>
      </c>
      <c r="AA42">
        <v>0.15146599999999999</v>
      </c>
      <c r="AB42">
        <v>0.28299200000000002</v>
      </c>
      <c r="AC42">
        <v>0.54588099999999995</v>
      </c>
      <c r="AD42">
        <v>1.0719700000000001</v>
      </c>
      <c r="AE42">
        <v>2.1241099999999999</v>
      </c>
      <c r="AF42">
        <v>4.2682000000000002</v>
      </c>
    </row>
    <row r="43" spans="1:32" x14ac:dyDescent="0.25">
      <c r="A43">
        <v>3.1952800000000003E-2</v>
      </c>
      <c r="B43">
        <v>3.2515299999999997E-2</v>
      </c>
      <c r="C43">
        <v>3.36855E-2</v>
      </c>
      <c r="D43">
        <v>3.30412E-2</v>
      </c>
      <c r="E43">
        <v>3.3089599999999997E-2</v>
      </c>
      <c r="F43">
        <v>3.3078499999999997E-2</v>
      </c>
      <c r="G43">
        <v>3.6492799999999999E-2</v>
      </c>
      <c r="H43">
        <v>4.37986E-2</v>
      </c>
      <c r="I43">
        <v>5.9544699999999999E-2</v>
      </c>
      <c r="J43">
        <v>9.1695600000000002E-2</v>
      </c>
      <c r="K43">
        <v>0.15473799999999999</v>
      </c>
      <c r="L43">
        <v>0.28234900000000002</v>
      </c>
      <c r="M43">
        <v>0.53760600000000003</v>
      </c>
      <c r="N43">
        <v>1.0467200000000001</v>
      </c>
      <c r="O43">
        <v>2.0649600000000001</v>
      </c>
      <c r="P43">
        <v>4.1045100000000003</v>
      </c>
      <c r="Q43">
        <v>2.51515E-2</v>
      </c>
      <c r="R43">
        <v>2.45773E-2</v>
      </c>
      <c r="S43">
        <v>2.4621400000000002E-2</v>
      </c>
      <c r="T43">
        <v>2.5151799999999998E-2</v>
      </c>
      <c r="U43">
        <v>2.5344999999999999E-2</v>
      </c>
      <c r="V43">
        <v>2.5683600000000001E-2</v>
      </c>
      <c r="W43">
        <v>2.9040199999999999E-2</v>
      </c>
      <c r="X43">
        <v>3.6522199999999998E-2</v>
      </c>
      <c r="Y43">
        <v>5.2783799999999999E-2</v>
      </c>
      <c r="Z43">
        <v>8.5747799999999999E-2</v>
      </c>
      <c r="AA43">
        <v>0.151393</v>
      </c>
      <c r="AB43">
        <v>0.28310800000000003</v>
      </c>
      <c r="AC43">
        <v>0.54600499999999996</v>
      </c>
      <c r="AD43">
        <v>1.0719799999999999</v>
      </c>
      <c r="AE43">
        <v>2.1230099999999998</v>
      </c>
      <c r="AF43">
        <v>4.2689899999999996</v>
      </c>
    </row>
    <row r="44" spans="1:32" x14ac:dyDescent="0.25">
      <c r="A44">
        <v>3.2357700000000003E-2</v>
      </c>
      <c r="B44">
        <v>3.2409899999999998E-2</v>
      </c>
      <c r="C44">
        <v>3.3096199999999999E-2</v>
      </c>
      <c r="D44">
        <v>3.2793299999999997E-2</v>
      </c>
      <c r="E44">
        <v>3.3176600000000001E-2</v>
      </c>
      <c r="F44">
        <v>3.3067300000000001E-2</v>
      </c>
      <c r="G44">
        <v>3.5796399999999999E-2</v>
      </c>
      <c r="H44">
        <v>4.4040500000000003E-2</v>
      </c>
      <c r="I44">
        <v>5.9450799999999998E-2</v>
      </c>
      <c r="J44">
        <v>9.1577400000000003E-2</v>
      </c>
      <c r="K44">
        <v>0.155255</v>
      </c>
      <c r="L44">
        <v>0.28269699999999998</v>
      </c>
      <c r="M44">
        <v>0.53731399999999996</v>
      </c>
      <c r="N44">
        <v>1.0470699999999999</v>
      </c>
      <c r="O44">
        <v>2.0648</v>
      </c>
      <c r="P44">
        <v>4.1053699999999997</v>
      </c>
      <c r="Q44">
        <v>2.44037E-2</v>
      </c>
      <c r="R44">
        <v>2.48617E-2</v>
      </c>
      <c r="S44">
        <v>2.4961000000000001E-2</v>
      </c>
      <c r="T44">
        <v>2.4509E-2</v>
      </c>
      <c r="U44">
        <v>2.5198000000000002E-2</v>
      </c>
      <c r="V44">
        <v>2.5721999999999998E-2</v>
      </c>
      <c r="W44">
        <v>2.9135299999999999E-2</v>
      </c>
      <c r="X44">
        <v>3.6723699999999998E-2</v>
      </c>
      <c r="Y44">
        <v>5.2635700000000001E-2</v>
      </c>
      <c r="Z44">
        <v>8.5776500000000006E-2</v>
      </c>
      <c r="AA44">
        <v>0.151669</v>
      </c>
      <c r="AB44">
        <v>0.28304800000000002</v>
      </c>
      <c r="AC44">
        <v>0.54596100000000003</v>
      </c>
      <c r="AD44">
        <v>1.07206</v>
      </c>
      <c r="AE44">
        <v>2.1229900000000002</v>
      </c>
      <c r="AF44">
        <v>4.2689399999999997</v>
      </c>
    </row>
    <row r="45" spans="1:32" x14ac:dyDescent="0.25">
      <c r="A45">
        <v>3.2167800000000003E-2</v>
      </c>
      <c r="B45">
        <v>3.2191400000000002E-2</v>
      </c>
      <c r="C45">
        <v>3.2679E-2</v>
      </c>
      <c r="D45">
        <v>3.2963300000000001E-2</v>
      </c>
      <c r="E45">
        <v>3.2860599999999997E-2</v>
      </c>
      <c r="F45">
        <v>3.3678300000000001E-2</v>
      </c>
      <c r="G45">
        <v>3.6588000000000002E-2</v>
      </c>
      <c r="H45">
        <v>4.37168E-2</v>
      </c>
      <c r="I45">
        <v>5.94429E-2</v>
      </c>
      <c r="J45">
        <v>9.16627E-2</v>
      </c>
      <c r="K45">
        <v>0.15498000000000001</v>
      </c>
      <c r="L45">
        <v>0.282582</v>
      </c>
      <c r="M45">
        <v>0.53731300000000004</v>
      </c>
      <c r="N45">
        <v>1.04721</v>
      </c>
      <c r="O45">
        <v>2.06507</v>
      </c>
      <c r="P45">
        <v>4.1055799999999998</v>
      </c>
      <c r="Q45">
        <v>2.4442700000000001E-2</v>
      </c>
      <c r="R45">
        <v>2.4630300000000001E-2</v>
      </c>
      <c r="S45">
        <v>2.4859800000000001E-2</v>
      </c>
      <c r="T45">
        <v>2.49284E-2</v>
      </c>
      <c r="U45">
        <v>2.4959499999999999E-2</v>
      </c>
      <c r="V45">
        <v>2.5645600000000001E-2</v>
      </c>
      <c r="W45">
        <v>2.89489E-2</v>
      </c>
      <c r="X45">
        <v>3.68688E-2</v>
      </c>
      <c r="Y45">
        <v>5.2746300000000003E-2</v>
      </c>
      <c r="Z45">
        <v>8.5805400000000004E-2</v>
      </c>
      <c r="AA45">
        <v>0.151365</v>
      </c>
      <c r="AB45">
        <v>0.28312700000000002</v>
      </c>
      <c r="AC45">
        <v>0.54584299999999997</v>
      </c>
      <c r="AD45">
        <v>1.0721499999999999</v>
      </c>
      <c r="AE45">
        <v>2.1236100000000002</v>
      </c>
      <c r="AF45">
        <v>4.2692199999999998</v>
      </c>
    </row>
    <row r="46" spans="1:32" x14ac:dyDescent="0.25">
      <c r="A46">
        <v>3.2074800000000001E-2</v>
      </c>
      <c r="B46">
        <v>3.24365E-2</v>
      </c>
      <c r="C46">
        <v>3.2961299999999999E-2</v>
      </c>
      <c r="D46">
        <v>3.2876700000000002E-2</v>
      </c>
      <c r="E46">
        <v>3.2710400000000001E-2</v>
      </c>
      <c r="F46">
        <v>3.34203E-2</v>
      </c>
      <c r="G46">
        <v>3.64856E-2</v>
      </c>
      <c r="H46">
        <v>4.3271799999999999E-2</v>
      </c>
      <c r="I46">
        <v>5.9386300000000003E-2</v>
      </c>
      <c r="J46">
        <v>9.1187000000000004E-2</v>
      </c>
      <c r="K46">
        <v>0.155027</v>
      </c>
      <c r="L46">
        <v>0.28206199999999998</v>
      </c>
      <c r="M46">
        <v>0.53718699999999997</v>
      </c>
      <c r="N46">
        <v>1.0473399999999999</v>
      </c>
      <c r="O46">
        <v>2.0660099999999999</v>
      </c>
      <c r="P46">
        <v>4.1049600000000002</v>
      </c>
      <c r="Q46">
        <v>2.4450300000000001E-2</v>
      </c>
      <c r="R46">
        <v>2.48454E-2</v>
      </c>
      <c r="S46">
        <v>2.4758599999999999E-2</v>
      </c>
      <c r="T46">
        <v>2.4849199999999998E-2</v>
      </c>
      <c r="U46">
        <v>2.47748E-2</v>
      </c>
      <c r="V46">
        <v>2.58795E-2</v>
      </c>
      <c r="W46">
        <v>2.8948600000000001E-2</v>
      </c>
      <c r="X46">
        <v>3.6586800000000003E-2</v>
      </c>
      <c r="Y46">
        <v>5.29851E-2</v>
      </c>
      <c r="Z46">
        <v>8.5780200000000001E-2</v>
      </c>
      <c r="AA46">
        <v>0.15143999999999999</v>
      </c>
      <c r="AB46">
        <v>0.28309600000000001</v>
      </c>
      <c r="AC46">
        <v>0.54580499999999998</v>
      </c>
      <c r="AD46">
        <v>1.0721400000000001</v>
      </c>
      <c r="AE46">
        <v>2.12324</v>
      </c>
      <c r="AF46">
        <v>4.2692199999999998</v>
      </c>
    </row>
    <row r="47" spans="1:32" x14ac:dyDescent="0.25">
      <c r="A47">
        <v>3.2498699999999998E-2</v>
      </c>
      <c r="B47">
        <v>3.2665800000000002E-2</v>
      </c>
      <c r="C47">
        <v>3.27379E-2</v>
      </c>
      <c r="D47">
        <v>3.2554699999999999E-2</v>
      </c>
      <c r="E47">
        <v>3.31194E-2</v>
      </c>
      <c r="F47">
        <v>3.2812300000000003E-2</v>
      </c>
      <c r="G47">
        <v>3.6123700000000002E-2</v>
      </c>
      <c r="H47">
        <v>4.4229699999999997E-2</v>
      </c>
      <c r="I47">
        <v>5.9192000000000002E-2</v>
      </c>
      <c r="J47">
        <v>9.1724E-2</v>
      </c>
      <c r="K47">
        <v>0.15481300000000001</v>
      </c>
      <c r="L47">
        <v>0.28323500000000001</v>
      </c>
      <c r="M47">
        <v>0.53744099999999995</v>
      </c>
      <c r="N47">
        <v>1.0471999999999999</v>
      </c>
      <c r="O47">
        <v>2.0662799999999999</v>
      </c>
      <c r="P47">
        <v>4.1039099999999999</v>
      </c>
      <c r="Q47">
        <v>2.46509E-2</v>
      </c>
      <c r="R47">
        <v>2.4755800000000001E-2</v>
      </c>
      <c r="S47">
        <v>2.4625600000000001E-2</v>
      </c>
      <c r="T47">
        <v>2.47561E-2</v>
      </c>
      <c r="U47">
        <v>2.4768100000000001E-2</v>
      </c>
      <c r="V47">
        <v>2.5549200000000001E-2</v>
      </c>
      <c r="W47">
        <v>2.9041600000000001E-2</v>
      </c>
      <c r="X47">
        <v>3.6830399999999999E-2</v>
      </c>
      <c r="Y47">
        <v>5.24892E-2</v>
      </c>
      <c r="Z47">
        <v>8.5773299999999997E-2</v>
      </c>
      <c r="AA47">
        <v>0.15162500000000001</v>
      </c>
      <c r="AB47">
        <v>0.28304299999999999</v>
      </c>
      <c r="AC47">
        <v>0.54570200000000002</v>
      </c>
      <c r="AD47">
        <v>1.07196</v>
      </c>
      <c r="AE47">
        <v>2.1234600000000001</v>
      </c>
      <c r="AF47">
        <v>4.2687799999999996</v>
      </c>
    </row>
    <row r="48" spans="1:32" x14ac:dyDescent="0.25">
      <c r="A48">
        <v>3.3955199999999998E-2</v>
      </c>
      <c r="B48">
        <v>3.3757299999999997E-2</v>
      </c>
      <c r="C48">
        <v>3.2865600000000002E-2</v>
      </c>
      <c r="D48">
        <v>3.2169900000000001E-2</v>
      </c>
      <c r="E48">
        <v>3.27087E-2</v>
      </c>
      <c r="F48">
        <v>3.2732900000000002E-2</v>
      </c>
      <c r="G48">
        <v>3.6625199999999997E-2</v>
      </c>
      <c r="H48">
        <v>4.3996500000000001E-2</v>
      </c>
      <c r="I48">
        <v>5.9022199999999997E-2</v>
      </c>
      <c r="J48">
        <v>9.16101E-2</v>
      </c>
      <c r="K48">
        <v>0.15451699999999999</v>
      </c>
      <c r="L48">
        <v>0.28250599999999998</v>
      </c>
      <c r="M48">
        <v>0.53694500000000001</v>
      </c>
      <c r="N48">
        <v>1.0468500000000001</v>
      </c>
      <c r="O48">
        <v>2.0652200000000001</v>
      </c>
      <c r="P48">
        <v>4.1052600000000004</v>
      </c>
      <c r="Q48">
        <v>2.46666E-2</v>
      </c>
      <c r="R48">
        <v>2.4903700000000001E-2</v>
      </c>
      <c r="S48">
        <v>2.4627900000000001E-2</v>
      </c>
      <c r="T48">
        <v>2.4786699999999998E-2</v>
      </c>
      <c r="U48">
        <v>2.5475000000000001E-2</v>
      </c>
      <c r="V48">
        <v>2.5885100000000001E-2</v>
      </c>
      <c r="W48">
        <v>2.90247E-2</v>
      </c>
      <c r="X48">
        <v>3.6693099999999999E-2</v>
      </c>
      <c r="Y48">
        <v>5.2529300000000001E-2</v>
      </c>
      <c r="Z48">
        <v>8.6067099999999994E-2</v>
      </c>
      <c r="AA48">
        <v>0.151611</v>
      </c>
      <c r="AB48">
        <v>0.28307100000000002</v>
      </c>
      <c r="AC48">
        <v>0.54590700000000003</v>
      </c>
      <c r="AD48">
        <v>1.0721400000000001</v>
      </c>
      <c r="AE48">
        <v>2.1236000000000002</v>
      </c>
      <c r="AF48">
        <v>4.2694799999999997</v>
      </c>
    </row>
    <row r="49" spans="1:32" x14ac:dyDescent="0.25">
      <c r="A49">
        <v>3.28554E-2</v>
      </c>
      <c r="B49">
        <v>3.25188E-2</v>
      </c>
      <c r="C49">
        <v>3.28706E-2</v>
      </c>
      <c r="D49">
        <v>3.2299000000000001E-2</v>
      </c>
      <c r="E49">
        <v>3.2926400000000002E-2</v>
      </c>
      <c r="F49">
        <v>3.31182E-2</v>
      </c>
      <c r="G49">
        <v>3.7193299999999999E-2</v>
      </c>
      <c r="H49">
        <v>4.4100399999999998E-2</v>
      </c>
      <c r="I49">
        <v>5.9167499999999998E-2</v>
      </c>
      <c r="J49">
        <v>9.1436199999999995E-2</v>
      </c>
      <c r="K49">
        <v>0.15492400000000001</v>
      </c>
      <c r="L49">
        <v>0.28272000000000003</v>
      </c>
      <c r="M49">
        <v>0.53745900000000002</v>
      </c>
      <c r="N49">
        <v>1.0475399999999999</v>
      </c>
      <c r="O49">
        <v>2.06576</v>
      </c>
      <c r="P49">
        <v>4.1048900000000001</v>
      </c>
      <c r="Q49">
        <v>2.51171E-2</v>
      </c>
      <c r="R49">
        <v>2.4663500000000001E-2</v>
      </c>
      <c r="S49">
        <v>2.49207E-2</v>
      </c>
      <c r="T49">
        <v>2.45661E-2</v>
      </c>
      <c r="U49">
        <v>2.4793200000000001E-2</v>
      </c>
      <c r="V49">
        <v>2.57498E-2</v>
      </c>
      <c r="W49">
        <v>2.9189099999999999E-2</v>
      </c>
      <c r="X49">
        <v>3.6197699999999999E-2</v>
      </c>
      <c r="Y49">
        <v>5.2469799999999997E-2</v>
      </c>
      <c r="Z49">
        <v>8.59684E-2</v>
      </c>
      <c r="AA49">
        <v>0.15154899999999999</v>
      </c>
      <c r="AB49">
        <v>0.282744</v>
      </c>
      <c r="AC49">
        <v>0.54592600000000002</v>
      </c>
      <c r="AD49">
        <v>1.0721099999999999</v>
      </c>
      <c r="AE49">
        <v>2.1231300000000002</v>
      </c>
      <c r="AF49">
        <v>4.26877</v>
      </c>
    </row>
    <row r="50" spans="1:32" x14ac:dyDescent="0.25">
      <c r="A50">
        <v>3.3601499999999999E-2</v>
      </c>
      <c r="B50">
        <v>3.2990600000000002E-2</v>
      </c>
      <c r="C50">
        <v>3.2751299999999997E-2</v>
      </c>
      <c r="D50">
        <v>3.21578E-2</v>
      </c>
      <c r="E50">
        <v>3.2532199999999997E-2</v>
      </c>
      <c r="F50">
        <v>3.31206E-2</v>
      </c>
      <c r="G50">
        <v>3.73461E-2</v>
      </c>
      <c r="H50">
        <v>4.3922500000000003E-2</v>
      </c>
      <c r="I50">
        <v>5.9600399999999998E-2</v>
      </c>
      <c r="J50">
        <v>9.1368099999999994E-2</v>
      </c>
      <c r="K50">
        <v>0.15531600000000001</v>
      </c>
      <c r="L50">
        <v>0.28225299999999998</v>
      </c>
      <c r="M50">
        <v>0.53736399999999995</v>
      </c>
      <c r="N50">
        <v>1.04691</v>
      </c>
      <c r="O50">
        <v>2.0655700000000001</v>
      </c>
      <c r="P50">
        <v>4.1038800000000002</v>
      </c>
      <c r="Q50">
        <v>2.4516E-2</v>
      </c>
      <c r="R50">
        <v>2.4686E-2</v>
      </c>
      <c r="S50">
        <v>2.4741699999999998E-2</v>
      </c>
      <c r="T50">
        <v>2.4820999999999999E-2</v>
      </c>
      <c r="U50">
        <v>2.4975799999999999E-2</v>
      </c>
      <c r="V50">
        <v>2.5794999999999998E-2</v>
      </c>
      <c r="W50">
        <v>2.9120099999999999E-2</v>
      </c>
      <c r="X50">
        <v>3.65616E-2</v>
      </c>
      <c r="Y50">
        <v>5.2581299999999997E-2</v>
      </c>
      <c r="Z50">
        <v>8.5755600000000001E-2</v>
      </c>
      <c r="AA50">
        <v>0.15165899999999999</v>
      </c>
      <c r="AB50">
        <v>0.28297299999999997</v>
      </c>
      <c r="AC50">
        <v>0.54568899999999998</v>
      </c>
      <c r="AD50">
        <v>1.0720099999999999</v>
      </c>
      <c r="AE50">
        <v>2.1234999999999999</v>
      </c>
      <c r="AF50">
        <v>4.2687600000000003</v>
      </c>
    </row>
    <row r="51" spans="1:32" x14ac:dyDescent="0.25">
      <c r="A51">
        <v>3.23231E-2</v>
      </c>
      <c r="B51">
        <v>3.2891700000000003E-2</v>
      </c>
      <c r="C51">
        <v>3.2531499999999998E-2</v>
      </c>
      <c r="D51">
        <v>3.23086E-2</v>
      </c>
      <c r="E51">
        <v>3.2485699999999999E-2</v>
      </c>
      <c r="F51">
        <v>3.3472399999999999E-2</v>
      </c>
      <c r="G51">
        <v>3.6889699999999997E-2</v>
      </c>
      <c r="H51">
        <v>4.3846499999999997E-2</v>
      </c>
      <c r="I51">
        <v>5.94342E-2</v>
      </c>
      <c r="J51">
        <v>9.1507099999999994E-2</v>
      </c>
      <c r="K51">
        <v>0.15540799999999999</v>
      </c>
      <c r="L51">
        <v>0.28245300000000001</v>
      </c>
      <c r="M51">
        <v>0.53742100000000004</v>
      </c>
      <c r="N51">
        <v>1.0485199999999999</v>
      </c>
      <c r="O51">
        <v>2.0657800000000002</v>
      </c>
      <c r="P51">
        <v>4.1050500000000003</v>
      </c>
      <c r="Q51">
        <v>2.4411499999999999E-2</v>
      </c>
      <c r="R51">
        <v>2.5007499999999998E-2</v>
      </c>
      <c r="S51">
        <v>2.4982899999999999E-2</v>
      </c>
      <c r="T51">
        <v>2.4943199999999999E-2</v>
      </c>
      <c r="U51">
        <v>2.5326100000000001E-2</v>
      </c>
      <c r="V51">
        <v>2.5851699999999998E-2</v>
      </c>
      <c r="W51">
        <v>2.9132100000000001E-2</v>
      </c>
      <c r="X51">
        <v>3.6550600000000003E-2</v>
      </c>
      <c r="Y51">
        <v>5.2762099999999999E-2</v>
      </c>
      <c r="Z51">
        <v>8.5971099999999995E-2</v>
      </c>
      <c r="AA51">
        <v>0.15145800000000001</v>
      </c>
      <c r="AB51">
        <v>0.28314800000000001</v>
      </c>
      <c r="AC51">
        <v>0.54589100000000002</v>
      </c>
      <c r="AD51">
        <v>1.07206</v>
      </c>
      <c r="AE51">
        <v>2.1234500000000001</v>
      </c>
      <c r="AF51">
        <v>4.2692199999999998</v>
      </c>
    </row>
    <row r="52" spans="1:32" x14ac:dyDescent="0.25">
      <c r="A52">
        <f>AVERAGE(x__4[minMaxPar_50_15.txt])</f>
        <v>3.2739672000000011E-2</v>
      </c>
      <c r="B52">
        <f>AVERAGE(x__4[minMaxPar_50_16.txt])</f>
        <v>3.2641056000000002E-2</v>
      </c>
      <c r="C52">
        <f>AVERAGE(x__4[minMaxPar_50_17.txt])</f>
        <v>3.2771185999999994E-2</v>
      </c>
      <c r="D52">
        <f>AVERAGE(x__4[minMaxPar_50_18.txt])</f>
        <v>3.2623720000000009E-2</v>
      </c>
      <c r="E52">
        <f>AVERAGE(x__4[minMaxPar_50_19.txt])</f>
        <v>3.3042228E-2</v>
      </c>
      <c r="F52">
        <f>AVERAGE(x__4[minMaxPar_50_20.txt])</f>
        <v>3.3272792000000002E-2</v>
      </c>
      <c r="G52">
        <f>AVERAGE(x__4[minMaxPar_50_21.txt])</f>
        <v>3.6581114000000005E-2</v>
      </c>
      <c r="H52">
        <f>AVERAGE(x__4[minMaxPar_50_22.txt])</f>
        <v>4.3782427999999998E-2</v>
      </c>
      <c r="I52">
        <f>AVERAGE(x__4[minMaxPar_50_23.txt])</f>
        <v>5.9339863999999999E-2</v>
      </c>
      <c r="J52">
        <f>AVERAGE(x__4[minMaxPar_50_24.txt])</f>
        <v>9.1466647999999998E-2</v>
      </c>
      <c r="K52">
        <f>AVERAGE(x__4[minMaxPar_50_25.txt])</f>
        <v>0.15506656000000008</v>
      </c>
      <c r="L52">
        <f>AVERAGE(x__4[minMaxPar_50_26.txt])</f>
        <v>0.28254445999999994</v>
      </c>
      <c r="M52">
        <f>AVERAGE(x__4[minMaxPar_50_27.txt])</f>
        <v>0.53724573999999992</v>
      </c>
      <c r="N52">
        <f>AVERAGE(x__4[minMaxPar_50_28.txt])</f>
        <v>1.0470691999999997</v>
      </c>
      <c r="O52">
        <f>AVERAGE(x__4[minMaxPar_50_29.txt])</f>
        <v>2.0654635999999997</v>
      </c>
      <c r="P52">
        <f>AVERAGE(x__4[minMaxPar_50_30.txt])</f>
        <v>4.1053688000000008</v>
      </c>
      <c r="Q52">
        <f>AVERAGE(x__4[montePar_50_15.txt])</f>
        <v>2.5263711999999994E-2</v>
      </c>
      <c r="R52">
        <f>AVERAGE(x__4[montePar_50_16.txt])</f>
        <v>2.4951186000000014E-2</v>
      </c>
      <c r="S52">
        <f>AVERAGE(x__4[montePar_50_17.txt])</f>
        <v>2.4854267999999999E-2</v>
      </c>
      <c r="T52">
        <f>AVERAGE(x__4[montePar_50_18.txt])</f>
        <v>2.4855031999999996E-2</v>
      </c>
      <c r="U52">
        <f>AVERAGE(x__4[montePar_50_19.txt])</f>
        <v>2.5042841999999996E-2</v>
      </c>
      <c r="V52">
        <f>AVERAGE(x__4[montePar_50_20.txt])</f>
        <v>2.5769552000000005E-2</v>
      </c>
      <c r="W52">
        <f>AVERAGE(x__4[montePar_50_21.txt])</f>
        <v>2.9123518000000004E-2</v>
      </c>
      <c r="X52">
        <f>AVERAGE(x__4[montePar_50_22.txt])</f>
        <v>3.6519851999999992E-2</v>
      </c>
      <c r="Y52">
        <f>AVERAGE(x__4[montePar_50_23.txt])</f>
        <v>5.2646803999999978E-2</v>
      </c>
      <c r="Z52">
        <f>AVERAGE(x__4[montePar_50_24.txt])</f>
        <v>8.5702901999999984E-2</v>
      </c>
      <c r="AA52">
        <f>AVERAGE(x__4[montePar_50_25.txt])</f>
        <v>0.15155553999999999</v>
      </c>
      <c r="AB52">
        <f>AVERAGE(x__4[montePar_50_26.txt])</f>
        <v>0.28302810000000006</v>
      </c>
      <c r="AC52">
        <f>AVERAGE(x__4[montePar_50_27.txt])</f>
        <v>0.54591358000000012</v>
      </c>
      <c r="AD52">
        <f>AVERAGE(x__4[montePar_50_28.txt])</f>
        <v>1.0720431999999998</v>
      </c>
      <c r="AE52">
        <f>AVERAGE(x__4[montePar_50_29.txt])</f>
        <v>2.1235875999999991</v>
      </c>
      <c r="AF52">
        <f>AVERAGE(x__4[montePar_50_30.txt])</f>
        <v>4.2630709999999983</v>
      </c>
    </row>
    <row r="53" spans="1:32" x14ac:dyDescent="0.25">
      <c r="A53">
        <f>_xlfn.STDEV.P(x__4[minMaxPar_50_15.txt])</f>
        <v>5.947539975620171E-4</v>
      </c>
      <c r="B53">
        <f>_xlfn.STDEV.P(x__4[minMaxPar_50_16.txt])</f>
        <v>5.5623152595299721E-4</v>
      </c>
      <c r="C53">
        <f>_xlfn.STDEV.P(x__4[minMaxPar_50_17.txt])</f>
        <v>5.8857656970355185E-4</v>
      </c>
      <c r="D53">
        <f>_xlfn.STDEV.P(x__4[minMaxPar_50_18.txt])</f>
        <v>3.7560005591053897E-4</v>
      </c>
      <c r="E53">
        <f>_xlfn.STDEV.P(x__4[minMaxPar_50_19.txt])</f>
        <v>5.7885033231052036E-4</v>
      </c>
      <c r="F53">
        <f>_xlfn.STDEV.P(x__4[minMaxPar_50_20.txt])</f>
        <v>4.4515628753955661E-4</v>
      </c>
      <c r="G53">
        <f>_xlfn.STDEV.P(x__4[minMaxPar_50_21.txt])</f>
        <v>4.1454454960112544E-4</v>
      </c>
      <c r="H53">
        <f>_xlfn.STDEV.P(x__4[minMaxPar_50_22.txt])</f>
        <v>3.6169186888289313E-4</v>
      </c>
      <c r="I53">
        <f>_xlfn.STDEV.P(x__4[minMaxPar_50_23.txt])</f>
        <v>3.1430345894374102E-4</v>
      </c>
      <c r="J53">
        <f>_xlfn.STDEV.P(x__4[minMaxPar_50_24.txt])</f>
        <v>2.9327001431445277E-4</v>
      </c>
      <c r="K53">
        <f>_xlfn.STDEV.P(x__4[minMaxPar_50_25.txt])</f>
        <v>3.0753153724455575E-4</v>
      </c>
      <c r="L53">
        <f>_xlfn.STDEV.P(x__4[minMaxPar_50_26.txt])</f>
        <v>3.4126225750879863E-4</v>
      </c>
      <c r="M53">
        <f>_xlfn.STDEV.P(x__4[minMaxPar_50_27.txt])</f>
        <v>2.4084615919711479E-4</v>
      </c>
      <c r="N53">
        <f>_xlfn.STDEV.P(x__4[minMaxPar_50_28.txt])</f>
        <v>3.5629673026845858E-4</v>
      </c>
      <c r="O53">
        <f>_xlfn.STDEV.P(x__4[minMaxPar_50_29.txt])</f>
        <v>4.89737725726738E-4</v>
      </c>
      <c r="P53">
        <f>_xlfn.STDEV.P(x__4[minMaxPar_50_30.txt])</f>
        <v>1.3703570921479388E-3</v>
      </c>
      <c r="Q53">
        <f>_xlfn.STDEV.P(x__4[montePar_50_15.txt])</f>
        <v>1.2436037722104258E-3</v>
      </c>
      <c r="R53">
        <f>_xlfn.STDEV.P(x__4[montePar_50_16.txt])</f>
        <v>6.3750121788432685E-4</v>
      </c>
      <c r="S53">
        <f>_xlfn.STDEV.P(x__4[montePar_50_17.txt])</f>
        <v>2.1696339547490481E-4</v>
      </c>
      <c r="T53">
        <f>_xlfn.STDEV.P(x__4[montePar_50_18.txt])</f>
        <v>2.3221892983992491E-4</v>
      </c>
      <c r="U53">
        <f>_xlfn.STDEV.P(x__4[montePar_50_19.txt])</f>
        <v>2.1876581185368088E-4</v>
      </c>
      <c r="V53">
        <f>_xlfn.STDEV.P(x__4[montePar_50_20.txt])</f>
        <v>1.3633378780038318E-4</v>
      </c>
      <c r="W53">
        <f>_xlfn.STDEV.P(x__4[montePar_50_21.txt])</f>
        <v>1.8497511907280943E-4</v>
      </c>
      <c r="X53">
        <f>_xlfn.STDEV.P(x__4[montePar_50_22.txt])</f>
        <v>2.3058381837414387E-4</v>
      </c>
      <c r="Y53">
        <f>_xlfn.STDEV.P(x__4[montePar_50_23.txt])</f>
        <v>1.5041486357404937E-4</v>
      </c>
      <c r="Z53">
        <f>_xlfn.STDEV.P(x__4[montePar_50_24.txt])</f>
        <v>1.557825246810442E-4</v>
      </c>
      <c r="AA53">
        <f>_xlfn.STDEV.P(x__4[montePar_50_25.txt])</f>
        <v>1.0627327227482914E-4</v>
      </c>
      <c r="AB53">
        <f>_xlfn.STDEV.P(x__4[montePar_50_26.txt])</f>
        <v>1.6926940066060275E-4</v>
      </c>
      <c r="AC53">
        <f>_xlfn.STDEV.P(x__4[montePar_50_27.txt])</f>
        <v>1.1155807276930591E-4</v>
      </c>
      <c r="AD53">
        <f>_xlfn.STDEV.P(x__4[montePar_50_28.txt])</f>
        <v>1.1640343637540076E-4</v>
      </c>
      <c r="AE53">
        <f>_xlfn.STDEV.P(x__4[montePar_50_29.txt])</f>
        <v>5.7258906730745906E-4</v>
      </c>
      <c r="AF53">
        <f>_xlfn.STDEV.P(x__4[montePar_50_30.txt])</f>
        <v>1.4460910517667978E-2</v>
      </c>
    </row>
    <row r="54" spans="1:32" x14ac:dyDescent="0.25">
      <c r="A54" s="3">
        <f>A53/x__4[[#Totals],[minMaxPar_50_15.txt]]</f>
        <v>1.816615626332533E-2</v>
      </c>
      <c r="B54" s="3">
        <f>B53/x__4[[#Totals],[minMaxPar_50_16.txt]]</f>
        <v>1.7040855723325778E-2</v>
      </c>
      <c r="C54" s="3">
        <f>C53/x__4[[#Totals],[minMaxPar_50_17.txt]]</f>
        <v>1.7960185197555927E-2</v>
      </c>
      <c r="D54" s="3">
        <f>D53/x__4[[#Totals],[minMaxPar_50_18.txt]]</f>
        <v>1.1513097093481028E-2</v>
      </c>
      <c r="E54" s="3">
        <f>E53/x__4[[#Totals],[minMaxPar_50_19.txt]]</f>
        <v>1.7518501848922546E-2</v>
      </c>
      <c r="F54" s="3">
        <f>F53/x__4[[#Totals],[minMaxPar_50_20.txt]]</f>
        <v>1.3378988079496201E-2</v>
      </c>
      <c r="G54" s="3">
        <f>G53/x__4[[#Totals],[minMaxPar_50_21.txt]]</f>
        <v>1.133220135398625E-2</v>
      </c>
      <c r="H54" s="3">
        <f>H53/x__4[[#Totals],[minMaxPar_50_22.txt]]</f>
        <v>8.2611194811510486E-3</v>
      </c>
      <c r="I54" s="3">
        <f>I53/x__4[[#Totals],[minMaxPar_50_23.txt]]</f>
        <v>5.2966663176670075E-3</v>
      </c>
      <c r="J54" s="3">
        <f>J53/x__4[[#Totals],[minMaxPar_50_24.txt]]</f>
        <v>3.2063054755702078E-3</v>
      </c>
      <c r="K54" s="3">
        <f>K53/x__4[[#Totals],[minMaxPar_50_25.txt]]</f>
        <v>1.9832227995807451E-3</v>
      </c>
      <c r="L54" s="3">
        <f>L53/x__4[[#Totals],[minMaxPar_50_26.txt]]</f>
        <v>1.2078179041585125E-3</v>
      </c>
      <c r="M54" s="3">
        <f>M53/x__4[[#Totals],[minMaxPar_50_27.txt]]</f>
        <v>4.4829794126820781E-4</v>
      </c>
      <c r="N54" s="3">
        <f>N53/x__4[[#Totals],[minMaxPar_50_28.txt]]</f>
        <v>3.402800218633675E-4</v>
      </c>
      <c r="O54" s="3">
        <f>O53/x__4[[#Totals],[minMaxPar_50_29.txt]]</f>
        <v>2.3710789467640004E-4</v>
      </c>
      <c r="P54" s="3">
        <f>P53/x__4[[#Totals],[minMaxPar_50_30.txt]]</f>
        <v>3.3379634301014283E-4</v>
      </c>
      <c r="Q54" s="3">
        <f>Q53/x__4[[#Totals],[montePar_50_15.txt]]</f>
        <v>4.9224902983790592E-2</v>
      </c>
      <c r="R54" s="3">
        <f>R53/x__4[[#Totals],[montePar_50_16.txt]]</f>
        <v>2.5549936499384297E-2</v>
      </c>
      <c r="S54" s="3">
        <f>S53/x__4[[#Totals],[montePar_50_17.txt]]</f>
        <v>8.7294220644480378E-3</v>
      </c>
      <c r="T54" s="3">
        <f>T53/x__4[[#Totals],[montePar_50_18.txt]]</f>
        <v>9.3429342533103543E-3</v>
      </c>
      <c r="U54" s="3">
        <f>U53/x__4[[#Totals],[montePar_50_19.txt]]</f>
        <v>8.7356623443010546E-3</v>
      </c>
      <c r="V54" s="3">
        <f>V53/x__4[[#Totals],[montePar_50_20.txt]]</f>
        <v>5.2904989500936282E-3</v>
      </c>
      <c r="W54" s="3">
        <f>W53/x__4[[#Totals],[montePar_50_21.txt]]</f>
        <v>6.3514002351230166E-3</v>
      </c>
      <c r="X54" s="3">
        <f>X53/x__4[[#Totals],[montePar_50_22.txt]]</f>
        <v>6.3139308005449729E-3</v>
      </c>
      <c r="Y54" s="3">
        <f>Y53/x__4[[#Totals],[montePar_50_23.txt]]</f>
        <v>2.857055930195676E-3</v>
      </c>
      <c r="Z54" s="3">
        <f>Z53/x__4[[#Totals],[montePar_50_24.txt]]</f>
        <v>1.8177041972399514E-3</v>
      </c>
      <c r="AA54" s="3">
        <f>AA53/x__4[[#Totals],[montePar_50_25.txt]]</f>
        <v>7.0121667789134695E-4</v>
      </c>
      <c r="AB54" s="3">
        <f>AB53/x__4[[#Totals],[montePar_50_26.txt]]</f>
        <v>5.9806570676410834E-4</v>
      </c>
      <c r="AC54" s="3">
        <f>AC53/x__4[[#Totals],[montePar_50_27.txt]]</f>
        <v>2.0435115896788258E-4</v>
      </c>
      <c r="AD54" s="3">
        <f>AD53/x__4[[#Totals],[montePar_50_28.txt]]</f>
        <v>1.0858091947731285E-4</v>
      </c>
      <c r="AE54" s="3">
        <f>AE53/x__4[[#Totals],[montePar_50_29.txt]]</f>
        <v>2.6963289261411176E-4</v>
      </c>
      <c r="AF54" s="3">
        <f>AF53/x__4[[#Totals],[montePar_50_30.txt]]</f>
        <v>3.3921345709860295E-3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8563D-B001-4E2C-82FF-6C2138835D80}">
  <dimension ref="A1:AF54"/>
  <sheetViews>
    <sheetView topLeftCell="X34" workbookViewId="0">
      <selection activeCell="Q52" sqref="Q52:AF54"/>
    </sheetView>
  </sheetViews>
  <sheetFormatPr defaultRowHeight="15" x14ac:dyDescent="0.25"/>
  <cols>
    <col min="1" max="16" width="22.7109375" bestFit="1" customWidth="1"/>
    <col min="17" max="32" width="21.28515625" bestFit="1" customWidth="1"/>
  </cols>
  <sheetData>
    <row r="1" spans="1:3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</row>
    <row r="2" spans="1:32" x14ac:dyDescent="0.25">
      <c r="A2">
        <v>3.2203500000000003E-2</v>
      </c>
      <c r="B2">
        <v>3.2453500000000003E-2</v>
      </c>
      <c r="C2">
        <v>3.2852399999999997E-2</v>
      </c>
      <c r="D2">
        <v>3.2277300000000002E-2</v>
      </c>
      <c r="E2">
        <v>3.2435199999999997E-2</v>
      </c>
      <c r="F2">
        <v>3.2566900000000003E-2</v>
      </c>
      <c r="G2">
        <v>3.2792799999999997E-2</v>
      </c>
      <c r="H2">
        <v>3.28057E-2</v>
      </c>
      <c r="I2">
        <v>3.4855200000000003E-2</v>
      </c>
      <c r="J2">
        <v>3.7226000000000002E-2</v>
      </c>
      <c r="K2">
        <v>4.5032900000000001E-2</v>
      </c>
      <c r="L2">
        <v>6.2074900000000002E-2</v>
      </c>
      <c r="M2">
        <v>9.6505599999999997E-2</v>
      </c>
      <c r="N2">
        <v>0.165765</v>
      </c>
      <c r="O2">
        <v>0.30770799999999998</v>
      </c>
      <c r="P2">
        <v>0.58794500000000005</v>
      </c>
      <c r="Q2">
        <v>3.2306799999999997E-2</v>
      </c>
      <c r="R2">
        <v>2.5276699999999999E-2</v>
      </c>
      <c r="S2">
        <v>2.4452100000000001E-2</v>
      </c>
      <c r="T2">
        <v>2.5139499999999999E-2</v>
      </c>
      <c r="U2">
        <v>2.4838800000000001E-2</v>
      </c>
      <c r="V2">
        <v>2.5267000000000001E-2</v>
      </c>
      <c r="W2">
        <v>2.5091599999999999E-2</v>
      </c>
      <c r="X2">
        <v>2.53724E-2</v>
      </c>
      <c r="Y2">
        <v>2.6984299999999999E-2</v>
      </c>
      <c r="Z2">
        <v>3.1538799999999999E-2</v>
      </c>
      <c r="AA2">
        <v>4.1863900000000002E-2</v>
      </c>
      <c r="AB2">
        <v>6.2798499999999993E-2</v>
      </c>
      <c r="AC2">
        <v>0.10548299999999999</v>
      </c>
      <c r="AD2">
        <v>0.190883</v>
      </c>
      <c r="AE2">
        <v>0.36619400000000002</v>
      </c>
      <c r="AF2">
        <v>0.71290299999999995</v>
      </c>
    </row>
    <row r="3" spans="1:32" x14ac:dyDescent="0.25">
      <c r="A3">
        <v>3.1847E-2</v>
      </c>
      <c r="B3">
        <v>3.2694800000000003E-2</v>
      </c>
      <c r="C3">
        <v>3.2909500000000001E-2</v>
      </c>
      <c r="D3">
        <v>3.2594699999999997E-2</v>
      </c>
      <c r="E3">
        <v>3.2700699999999999E-2</v>
      </c>
      <c r="F3">
        <v>3.2217799999999998E-2</v>
      </c>
      <c r="G3">
        <v>3.2315099999999999E-2</v>
      </c>
      <c r="H3">
        <v>3.9558599999999999E-2</v>
      </c>
      <c r="I3">
        <v>3.3820099999999999E-2</v>
      </c>
      <c r="J3">
        <v>3.7774599999999998E-2</v>
      </c>
      <c r="K3">
        <v>4.5644200000000003E-2</v>
      </c>
      <c r="L3">
        <v>6.3214599999999996E-2</v>
      </c>
      <c r="M3">
        <v>9.7319299999999997E-2</v>
      </c>
      <c r="N3">
        <v>0.16642899999999999</v>
      </c>
      <c r="O3">
        <v>0.30837799999999999</v>
      </c>
      <c r="P3">
        <v>0.58873900000000001</v>
      </c>
      <c r="Q3">
        <v>2.6859600000000001E-2</v>
      </c>
      <c r="R3">
        <v>2.5026900000000001E-2</v>
      </c>
      <c r="S3">
        <v>2.4952200000000001E-2</v>
      </c>
      <c r="T3">
        <v>2.47548E-2</v>
      </c>
      <c r="U3">
        <v>2.4861100000000001E-2</v>
      </c>
      <c r="V3">
        <v>2.5052600000000001E-2</v>
      </c>
      <c r="W3">
        <v>2.4958000000000001E-2</v>
      </c>
      <c r="X3">
        <v>2.53875E-2</v>
      </c>
      <c r="Y3">
        <v>2.6834199999999999E-2</v>
      </c>
      <c r="Z3">
        <v>3.1161700000000001E-2</v>
      </c>
      <c r="AA3">
        <v>4.1901000000000001E-2</v>
      </c>
      <c r="AB3">
        <v>6.2499600000000002E-2</v>
      </c>
      <c r="AC3">
        <v>0.10528999999999999</v>
      </c>
      <c r="AD3">
        <v>0.19028400000000001</v>
      </c>
      <c r="AE3">
        <v>0.36619299999999999</v>
      </c>
      <c r="AF3">
        <v>0.71264700000000003</v>
      </c>
    </row>
    <row r="4" spans="1:32" x14ac:dyDescent="0.25">
      <c r="A4">
        <v>3.2655900000000002E-2</v>
      </c>
      <c r="B4">
        <v>3.2841599999999999E-2</v>
      </c>
      <c r="C4">
        <v>3.3265000000000003E-2</v>
      </c>
      <c r="D4">
        <v>3.2245299999999998E-2</v>
      </c>
      <c r="E4">
        <v>3.2453000000000003E-2</v>
      </c>
      <c r="F4">
        <v>3.2713899999999997E-2</v>
      </c>
      <c r="G4">
        <v>3.2484199999999998E-2</v>
      </c>
      <c r="H4">
        <v>3.2592700000000002E-2</v>
      </c>
      <c r="I4">
        <v>3.3966400000000001E-2</v>
      </c>
      <c r="J4">
        <v>3.7988099999999997E-2</v>
      </c>
      <c r="K4">
        <v>4.5943400000000002E-2</v>
      </c>
      <c r="L4">
        <v>6.2585100000000005E-2</v>
      </c>
      <c r="M4">
        <v>9.7572300000000001E-2</v>
      </c>
      <c r="N4">
        <v>0.165933</v>
      </c>
      <c r="O4">
        <v>0.30868699999999999</v>
      </c>
      <c r="P4">
        <v>0.58850000000000002</v>
      </c>
      <c r="Q4">
        <v>2.6774900000000001E-2</v>
      </c>
      <c r="R4">
        <v>2.4427399999999998E-2</v>
      </c>
      <c r="S4">
        <v>2.5651400000000001E-2</v>
      </c>
      <c r="T4">
        <v>2.48711E-2</v>
      </c>
      <c r="U4">
        <v>2.4698700000000001E-2</v>
      </c>
      <c r="V4">
        <v>2.4495599999999999E-2</v>
      </c>
      <c r="W4">
        <v>2.4818900000000001E-2</v>
      </c>
      <c r="X4">
        <v>2.5098200000000001E-2</v>
      </c>
      <c r="Y4">
        <v>2.6710999999999999E-2</v>
      </c>
      <c r="Z4">
        <v>3.1374800000000001E-2</v>
      </c>
      <c r="AA4">
        <v>4.1378199999999997E-2</v>
      </c>
      <c r="AB4">
        <v>6.2556200000000006E-2</v>
      </c>
      <c r="AC4">
        <v>0.105347</v>
      </c>
      <c r="AD4">
        <v>0.19086600000000001</v>
      </c>
      <c r="AE4">
        <v>0.36609199999999997</v>
      </c>
      <c r="AF4">
        <v>0.71278699999999995</v>
      </c>
    </row>
    <row r="5" spans="1:32" x14ac:dyDescent="0.25">
      <c r="A5">
        <v>3.2286000000000002E-2</v>
      </c>
      <c r="B5">
        <v>3.2655999999999998E-2</v>
      </c>
      <c r="C5">
        <v>3.3216000000000002E-2</v>
      </c>
      <c r="D5">
        <v>3.2579900000000002E-2</v>
      </c>
      <c r="E5">
        <v>3.1993399999999998E-2</v>
      </c>
      <c r="F5">
        <v>3.3141299999999999E-2</v>
      </c>
      <c r="G5">
        <v>3.2804E-2</v>
      </c>
      <c r="H5">
        <v>3.28624E-2</v>
      </c>
      <c r="I5">
        <v>3.4458700000000002E-2</v>
      </c>
      <c r="J5">
        <v>3.8003700000000001E-2</v>
      </c>
      <c r="K5">
        <v>4.7018299999999999E-2</v>
      </c>
      <c r="L5">
        <v>6.2688300000000002E-2</v>
      </c>
      <c r="M5">
        <v>9.7225699999999998E-2</v>
      </c>
      <c r="N5">
        <v>0.16620499999999999</v>
      </c>
      <c r="O5">
        <v>0.30848700000000001</v>
      </c>
      <c r="P5">
        <v>0.58800699999999995</v>
      </c>
      <c r="Q5">
        <v>2.7171899999999999E-2</v>
      </c>
      <c r="R5">
        <v>2.4815500000000001E-2</v>
      </c>
      <c r="S5">
        <v>2.4946900000000001E-2</v>
      </c>
      <c r="T5">
        <v>2.4862200000000001E-2</v>
      </c>
      <c r="U5">
        <v>2.4734800000000001E-2</v>
      </c>
      <c r="V5">
        <v>2.5168099999999999E-2</v>
      </c>
      <c r="W5">
        <v>2.4927700000000001E-2</v>
      </c>
      <c r="X5">
        <v>2.5390300000000001E-2</v>
      </c>
      <c r="Y5">
        <v>2.7175700000000001E-2</v>
      </c>
      <c r="Z5">
        <v>3.1216299999999999E-2</v>
      </c>
      <c r="AA5">
        <v>4.1296399999999997E-2</v>
      </c>
      <c r="AB5">
        <v>6.2615799999999999E-2</v>
      </c>
      <c r="AC5">
        <v>0.105369</v>
      </c>
      <c r="AD5">
        <v>0.19073200000000001</v>
      </c>
      <c r="AE5">
        <v>0.36613899999999999</v>
      </c>
      <c r="AF5">
        <v>0.71274899999999997</v>
      </c>
    </row>
    <row r="6" spans="1:32" x14ac:dyDescent="0.25">
      <c r="A6">
        <v>3.2765099999999998E-2</v>
      </c>
      <c r="B6">
        <v>3.3255199999999999E-2</v>
      </c>
      <c r="C6">
        <v>3.3000700000000001E-2</v>
      </c>
      <c r="D6">
        <v>3.2263E-2</v>
      </c>
      <c r="E6">
        <v>3.15888E-2</v>
      </c>
      <c r="F6">
        <v>3.2749100000000003E-2</v>
      </c>
      <c r="G6">
        <v>3.3133500000000003E-2</v>
      </c>
      <c r="H6">
        <v>3.2580400000000002E-2</v>
      </c>
      <c r="I6">
        <v>3.4976599999999997E-2</v>
      </c>
      <c r="J6">
        <v>3.7378000000000002E-2</v>
      </c>
      <c r="K6">
        <v>4.5414299999999998E-2</v>
      </c>
      <c r="L6">
        <v>6.1958699999999998E-2</v>
      </c>
      <c r="M6">
        <v>9.7179799999999997E-2</v>
      </c>
      <c r="N6">
        <v>0.16597100000000001</v>
      </c>
      <c r="O6">
        <v>0.30833700000000003</v>
      </c>
      <c r="P6">
        <v>0.588503</v>
      </c>
      <c r="Q6">
        <v>2.7481999999999999E-2</v>
      </c>
      <c r="R6">
        <v>2.49045E-2</v>
      </c>
      <c r="S6">
        <v>2.4833999999999998E-2</v>
      </c>
      <c r="T6">
        <v>2.4720900000000001E-2</v>
      </c>
      <c r="U6">
        <v>2.4430299999999999E-2</v>
      </c>
      <c r="V6">
        <v>2.4741800000000001E-2</v>
      </c>
      <c r="W6">
        <v>2.5112300000000001E-2</v>
      </c>
      <c r="X6">
        <v>2.54658E-2</v>
      </c>
      <c r="Y6">
        <v>2.68007E-2</v>
      </c>
      <c r="Z6">
        <v>3.1319100000000002E-2</v>
      </c>
      <c r="AA6">
        <v>4.1605400000000001E-2</v>
      </c>
      <c r="AB6">
        <v>6.2866900000000003E-2</v>
      </c>
      <c r="AC6">
        <v>0.10532</v>
      </c>
      <c r="AD6">
        <v>0.19083900000000001</v>
      </c>
      <c r="AE6">
        <v>0.36607800000000001</v>
      </c>
      <c r="AF6">
        <v>0.71240800000000004</v>
      </c>
    </row>
    <row r="7" spans="1:32" x14ac:dyDescent="0.25">
      <c r="A7">
        <v>3.2733400000000003E-2</v>
      </c>
      <c r="B7">
        <v>3.2685199999999998E-2</v>
      </c>
      <c r="C7">
        <v>3.3112599999999999E-2</v>
      </c>
      <c r="D7">
        <v>3.2896799999999997E-2</v>
      </c>
      <c r="E7">
        <v>3.3510400000000003E-2</v>
      </c>
      <c r="F7">
        <v>3.3088100000000002E-2</v>
      </c>
      <c r="G7">
        <v>3.2553499999999999E-2</v>
      </c>
      <c r="H7">
        <v>3.2820599999999998E-2</v>
      </c>
      <c r="I7">
        <v>3.4150600000000003E-2</v>
      </c>
      <c r="J7">
        <v>3.9486300000000002E-2</v>
      </c>
      <c r="K7">
        <v>4.5606399999999998E-2</v>
      </c>
      <c r="L7">
        <v>6.2214800000000001E-2</v>
      </c>
      <c r="M7">
        <v>9.7353700000000001E-2</v>
      </c>
      <c r="N7">
        <v>0.16697799999999999</v>
      </c>
      <c r="O7">
        <v>0.308083</v>
      </c>
      <c r="P7">
        <v>0.58790600000000004</v>
      </c>
      <c r="Q7">
        <v>2.66862E-2</v>
      </c>
      <c r="R7">
        <v>2.4939200000000002E-2</v>
      </c>
      <c r="S7">
        <v>2.4877099999999999E-2</v>
      </c>
      <c r="T7">
        <v>2.52672E-2</v>
      </c>
      <c r="U7">
        <v>2.47783E-2</v>
      </c>
      <c r="V7">
        <v>2.5039599999999999E-2</v>
      </c>
      <c r="W7">
        <v>2.4923299999999999E-2</v>
      </c>
      <c r="X7">
        <v>2.5372599999999999E-2</v>
      </c>
      <c r="Y7">
        <v>2.6649699999999998E-2</v>
      </c>
      <c r="Z7">
        <v>3.1413000000000003E-2</v>
      </c>
      <c r="AA7">
        <v>4.1552699999999998E-2</v>
      </c>
      <c r="AB7">
        <v>6.2875500000000001E-2</v>
      </c>
      <c r="AC7">
        <v>0.10544000000000001</v>
      </c>
      <c r="AD7">
        <v>0.19056799999999999</v>
      </c>
      <c r="AE7">
        <v>0.36597400000000002</v>
      </c>
      <c r="AF7">
        <v>0.71288499999999999</v>
      </c>
    </row>
    <row r="8" spans="1:32" x14ac:dyDescent="0.25">
      <c r="A8">
        <v>3.2967999999999997E-2</v>
      </c>
      <c r="B8">
        <v>3.3495799999999999E-2</v>
      </c>
      <c r="C8">
        <v>3.34811E-2</v>
      </c>
      <c r="D8">
        <v>3.2350700000000003E-2</v>
      </c>
      <c r="E8">
        <v>3.2553899999999997E-2</v>
      </c>
      <c r="F8">
        <v>3.3292599999999999E-2</v>
      </c>
      <c r="G8">
        <v>3.3007799999999997E-2</v>
      </c>
      <c r="H8">
        <v>3.3167099999999998E-2</v>
      </c>
      <c r="I8">
        <v>3.4790000000000001E-2</v>
      </c>
      <c r="J8">
        <v>3.7051500000000001E-2</v>
      </c>
      <c r="K8">
        <v>4.5774799999999997E-2</v>
      </c>
      <c r="L8">
        <v>6.2044200000000001E-2</v>
      </c>
      <c r="M8">
        <v>9.6955600000000003E-2</v>
      </c>
      <c r="N8">
        <v>0.166468</v>
      </c>
      <c r="O8">
        <v>0.308757</v>
      </c>
      <c r="P8">
        <v>0.58841299999999996</v>
      </c>
      <c r="Q8">
        <v>2.7234899999999999E-2</v>
      </c>
      <c r="R8">
        <v>2.4776300000000001E-2</v>
      </c>
      <c r="S8">
        <v>2.4545299999999999E-2</v>
      </c>
      <c r="T8">
        <v>2.5019300000000001E-2</v>
      </c>
      <c r="U8">
        <v>2.45585E-2</v>
      </c>
      <c r="V8">
        <v>2.4973700000000001E-2</v>
      </c>
      <c r="W8">
        <v>2.49634E-2</v>
      </c>
      <c r="X8">
        <v>2.51703E-2</v>
      </c>
      <c r="Y8">
        <v>2.7026600000000001E-2</v>
      </c>
      <c r="Z8">
        <v>3.14527E-2</v>
      </c>
      <c r="AA8">
        <v>4.1712800000000001E-2</v>
      </c>
      <c r="AB8">
        <v>6.2924499999999994E-2</v>
      </c>
      <c r="AC8">
        <v>0.105632</v>
      </c>
      <c r="AD8">
        <v>0.190613</v>
      </c>
      <c r="AE8">
        <v>0.36615199999999998</v>
      </c>
      <c r="AF8">
        <v>0.71253699999999998</v>
      </c>
    </row>
    <row r="9" spans="1:32" x14ac:dyDescent="0.25">
      <c r="A9">
        <v>3.27E-2</v>
      </c>
      <c r="B9">
        <v>3.3690699999999997E-2</v>
      </c>
      <c r="C9">
        <v>3.3328999999999998E-2</v>
      </c>
      <c r="D9">
        <v>3.25118E-2</v>
      </c>
      <c r="E9">
        <v>3.2948400000000003E-2</v>
      </c>
      <c r="F9">
        <v>3.3205499999999999E-2</v>
      </c>
      <c r="G9">
        <v>3.3198499999999999E-2</v>
      </c>
      <c r="H9">
        <v>3.2995099999999999E-2</v>
      </c>
      <c r="I9">
        <v>3.4494499999999997E-2</v>
      </c>
      <c r="J9">
        <v>3.73461E-2</v>
      </c>
      <c r="K9">
        <v>4.57242E-2</v>
      </c>
      <c r="L9">
        <v>6.3016699999999995E-2</v>
      </c>
      <c r="M9">
        <v>9.7404699999999997E-2</v>
      </c>
      <c r="N9">
        <v>0.166045</v>
      </c>
      <c r="O9">
        <v>0.30849900000000002</v>
      </c>
      <c r="P9">
        <v>0.58911899999999995</v>
      </c>
      <c r="Q9">
        <v>2.6715200000000001E-2</v>
      </c>
      <c r="R9">
        <v>2.4708500000000001E-2</v>
      </c>
      <c r="S9">
        <v>2.47713E-2</v>
      </c>
      <c r="T9">
        <v>2.4789200000000001E-2</v>
      </c>
      <c r="U9">
        <v>2.4639899999999999E-2</v>
      </c>
      <c r="V9">
        <v>2.5359300000000001E-2</v>
      </c>
      <c r="W9">
        <v>2.47023E-2</v>
      </c>
      <c r="X9">
        <v>2.5473900000000001E-2</v>
      </c>
      <c r="Y9">
        <v>2.6828100000000001E-2</v>
      </c>
      <c r="Z9">
        <v>3.1346499999999999E-2</v>
      </c>
      <c r="AA9">
        <v>4.21208E-2</v>
      </c>
      <c r="AB9">
        <v>6.2848899999999999E-2</v>
      </c>
      <c r="AC9">
        <v>0.105657</v>
      </c>
      <c r="AD9">
        <v>0.19061500000000001</v>
      </c>
      <c r="AE9">
        <v>0.36610700000000002</v>
      </c>
      <c r="AF9">
        <v>0.71252599999999999</v>
      </c>
    </row>
    <row r="10" spans="1:32" x14ac:dyDescent="0.25">
      <c r="A10">
        <v>3.2490499999999999E-2</v>
      </c>
      <c r="B10">
        <v>3.2392799999999999E-2</v>
      </c>
      <c r="C10">
        <v>3.2983899999999997E-2</v>
      </c>
      <c r="D10">
        <v>3.2961699999999997E-2</v>
      </c>
      <c r="E10">
        <v>3.2471699999999999E-2</v>
      </c>
      <c r="F10">
        <v>3.36913E-2</v>
      </c>
      <c r="G10">
        <v>3.2912799999999999E-2</v>
      </c>
      <c r="H10">
        <v>3.2956300000000001E-2</v>
      </c>
      <c r="I10">
        <v>3.5206000000000001E-2</v>
      </c>
      <c r="J10">
        <v>3.7966100000000003E-2</v>
      </c>
      <c r="K10">
        <v>4.5476299999999997E-2</v>
      </c>
      <c r="L10">
        <v>6.2838199999999997E-2</v>
      </c>
      <c r="M10">
        <v>0.100129</v>
      </c>
      <c r="N10">
        <v>0.166186</v>
      </c>
      <c r="O10">
        <v>0.30808999999999997</v>
      </c>
      <c r="P10">
        <v>0.588534</v>
      </c>
      <c r="Q10">
        <v>2.5514499999999999E-2</v>
      </c>
      <c r="R10">
        <v>2.49576E-2</v>
      </c>
      <c r="S10">
        <v>2.4641199999999999E-2</v>
      </c>
      <c r="T10">
        <v>2.4724800000000002E-2</v>
      </c>
      <c r="U10">
        <v>2.5144099999999999E-2</v>
      </c>
      <c r="V10">
        <v>2.5096199999999999E-2</v>
      </c>
      <c r="W10">
        <v>2.49448E-2</v>
      </c>
      <c r="X10">
        <v>2.5106300000000002E-2</v>
      </c>
      <c r="Y10">
        <v>2.6675500000000001E-2</v>
      </c>
      <c r="Z10">
        <v>3.1576399999999998E-2</v>
      </c>
      <c r="AA10">
        <v>4.1483699999999998E-2</v>
      </c>
      <c r="AB10">
        <v>6.2716300000000003E-2</v>
      </c>
      <c r="AC10">
        <v>0.10524</v>
      </c>
      <c r="AD10">
        <v>0.190578</v>
      </c>
      <c r="AE10">
        <v>0.36600100000000002</v>
      </c>
      <c r="AF10">
        <v>0.71274999999999999</v>
      </c>
    </row>
    <row r="11" spans="1:32" x14ac:dyDescent="0.25">
      <c r="A11">
        <v>3.3115800000000001E-2</v>
      </c>
      <c r="B11">
        <v>3.31481E-2</v>
      </c>
      <c r="C11">
        <v>3.4163499999999999E-2</v>
      </c>
      <c r="D11">
        <v>3.2654200000000001E-2</v>
      </c>
      <c r="E11">
        <v>3.3252299999999999E-2</v>
      </c>
      <c r="F11">
        <v>3.2416199999999999E-2</v>
      </c>
      <c r="G11">
        <v>3.3241800000000002E-2</v>
      </c>
      <c r="H11">
        <v>3.3512E-2</v>
      </c>
      <c r="I11">
        <v>3.4764200000000002E-2</v>
      </c>
      <c r="J11">
        <v>3.9161399999999999E-2</v>
      </c>
      <c r="K11">
        <v>4.5386000000000003E-2</v>
      </c>
      <c r="L11">
        <v>6.2535599999999997E-2</v>
      </c>
      <c r="M11">
        <v>9.8016400000000004E-2</v>
      </c>
      <c r="N11">
        <v>0.16556000000000001</v>
      </c>
      <c r="O11">
        <v>0.308668</v>
      </c>
      <c r="P11">
        <v>0.58831</v>
      </c>
      <c r="Q11">
        <v>2.5680100000000001E-2</v>
      </c>
      <c r="R11">
        <v>2.5215000000000001E-2</v>
      </c>
      <c r="S11">
        <v>2.4815299999999998E-2</v>
      </c>
      <c r="T11">
        <v>2.47297E-2</v>
      </c>
      <c r="U11">
        <v>2.4536599999999999E-2</v>
      </c>
      <c r="V11">
        <v>2.47695E-2</v>
      </c>
      <c r="W11">
        <v>2.5053099999999998E-2</v>
      </c>
      <c r="X11">
        <v>2.5223599999999999E-2</v>
      </c>
      <c r="Y11">
        <v>2.6679499999999998E-2</v>
      </c>
      <c r="Z11">
        <v>3.2098799999999997E-2</v>
      </c>
      <c r="AA11">
        <v>4.1567399999999997E-2</v>
      </c>
      <c r="AB11">
        <v>6.2845799999999993E-2</v>
      </c>
      <c r="AC11">
        <v>0.105351</v>
      </c>
      <c r="AD11">
        <v>0.19070100000000001</v>
      </c>
      <c r="AE11">
        <v>0.366253</v>
      </c>
      <c r="AF11">
        <v>0.71276399999999995</v>
      </c>
    </row>
    <row r="12" spans="1:32" x14ac:dyDescent="0.25">
      <c r="A12">
        <v>3.2679699999999999E-2</v>
      </c>
      <c r="B12">
        <v>3.3529700000000003E-2</v>
      </c>
      <c r="C12">
        <v>3.3949300000000002E-2</v>
      </c>
      <c r="D12">
        <v>3.2793900000000001E-2</v>
      </c>
      <c r="E12">
        <v>3.26684E-2</v>
      </c>
      <c r="F12">
        <v>3.2317499999999999E-2</v>
      </c>
      <c r="G12">
        <v>3.2430800000000003E-2</v>
      </c>
      <c r="H12">
        <v>3.3732199999999997E-2</v>
      </c>
      <c r="I12">
        <v>3.3930200000000001E-2</v>
      </c>
      <c r="J12">
        <v>3.7326900000000003E-2</v>
      </c>
      <c r="K12">
        <v>4.5227000000000003E-2</v>
      </c>
      <c r="L12">
        <v>6.2891900000000001E-2</v>
      </c>
      <c r="M12">
        <v>9.7835400000000003E-2</v>
      </c>
      <c r="N12">
        <v>0.16586600000000001</v>
      </c>
      <c r="O12">
        <v>0.30865500000000001</v>
      </c>
      <c r="P12">
        <v>0.58941500000000002</v>
      </c>
      <c r="Q12">
        <v>2.5687100000000001E-2</v>
      </c>
      <c r="R12">
        <v>2.4730499999999999E-2</v>
      </c>
      <c r="S12">
        <v>2.48309E-2</v>
      </c>
      <c r="T12">
        <v>2.4511100000000001E-2</v>
      </c>
      <c r="U12">
        <v>2.4800699999999998E-2</v>
      </c>
      <c r="V12">
        <v>2.4862499999999999E-2</v>
      </c>
      <c r="W12">
        <v>2.49407E-2</v>
      </c>
      <c r="X12">
        <v>2.5132999999999999E-2</v>
      </c>
      <c r="Y12">
        <v>2.6734500000000001E-2</v>
      </c>
      <c r="Z12">
        <v>3.1600299999999998E-2</v>
      </c>
      <c r="AA12">
        <v>4.17036E-2</v>
      </c>
      <c r="AB12">
        <v>6.2786400000000006E-2</v>
      </c>
      <c r="AC12">
        <v>0.105458</v>
      </c>
      <c r="AD12">
        <v>0.19062999999999999</v>
      </c>
      <c r="AE12">
        <v>0.36624499999999999</v>
      </c>
      <c r="AF12">
        <v>0.71272899999999995</v>
      </c>
    </row>
    <row r="13" spans="1:32" x14ac:dyDescent="0.25">
      <c r="A13">
        <v>3.2849000000000003E-2</v>
      </c>
      <c r="B13">
        <v>3.2714600000000003E-2</v>
      </c>
      <c r="C13">
        <v>3.25726E-2</v>
      </c>
      <c r="D13">
        <v>3.23793E-2</v>
      </c>
      <c r="E13">
        <v>3.2798300000000002E-2</v>
      </c>
      <c r="F13">
        <v>3.2883700000000002E-2</v>
      </c>
      <c r="G13">
        <v>3.2895099999999997E-2</v>
      </c>
      <c r="H13">
        <v>3.3653000000000002E-2</v>
      </c>
      <c r="I13">
        <v>3.3777700000000001E-2</v>
      </c>
      <c r="J13">
        <v>3.8201499999999999E-2</v>
      </c>
      <c r="K13">
        <v>4.5509399999999998E-2</v>
      </c>
      <c r="L13">
        <v>6.2427999999999997E-2</v>
      </c>
      <c r="M13">
        <v>9.7175499999999998E-2</v>
      </c>
      <c r="N13">
        <v>0.16578000000000001</v>
      </c>
      <c r="O13">
        <v>0.30749500000000002</v>
      </c>
      <c r="P13">
        <v>0.58878699999999995</v>
      </c>
      <c r="Q13">
        <v>2.5443E-2</v>
      </c>
      <c r="R13">
        <v>2.46993E-2</v>
      </c>
      <c r="S13">
        <v>2.4857600000000001E-2</v>
      </c>
      <c r="T13">
        <v>2.51024E-2</v>
      </c>
      <c r="U13">
        <v>2.4528600000000001E-2</v>
      </c>
      <c r="V13">
        <v>2.4747000000000002E-2</v>
      </c>
      <c r="W13">
        <v>2.4563000000000001E-2</v>
      </c>
      <c r="X13">
        <v>2.52702E-2</v>
      </c>
      <c r="Y13">
        <v>2.66413E-2</v>
      </c>
      <c r="Z13">
        <v>3.10437E-2</v>
      </c>
      <c r="AA13">
        <v>4.1435899999999998E-2</v>
      </c>
      <c r="AB13">
        <v>6.2568399999999996E-2</v>
      </c>
      <c r="AC13">
        <v>0.105379</v>
      </c>
      <c r="AD13">
        <v>0.19051199999999999</v>
      </c>
      <c r="AE13">
        <v>0.36623</v>
      </c>
      <c r="AF13">
        <v>0.71272000000000002</v>
      </c>
    </row>
    <row r="14" spans="1:32" x14ac:dyDescent="0.25">
      <c r="A14">
        <v>3.2948900000000003E-2</v>
      </c>
      <c r="B14">
        <v>3.2314599999999999E-2</v>
      </c>
      <c r="C14">
        <v>3.2667700000000001E-2</v>
      </c>
      <c r="D14">
        <v>3.3960600000000001E-2</v>
      </c>
      <c r="E14">
        <v>3.1907499999999998E-2</v>
      </c>
      <c r="F14">
        <v>3.26433E-2</v>
      </c>
      <c r="G14">
        <v>3.2541500000000001E-2</v>
      </c>
      <c r="H14">
        <v>3.3556999999999997E-2</v>
      </c>
      <c r="I14">
        <v>3.3847299999999997E-2</v>
      </c>
      <c r="J14">
        <v>3.7617699999999997E-2</v>
      </c>
      <c r="K14">
        <v>4.5564E-2</v>
      </c>
      <c r="L14">
        <v>6.2681899999999999E-2</v>
      </c>
      <c r="M14">
        <v>9.8080299999999995E-2</v>
      </c>
      <c r="N14">
        <v>0.16644300000000001</v>
      </c>
      <c r="O14">
        <v>0.308027</v>
      </c>
      <c r="P14">
        <v>0.58814599999999995</v>
      </c>
      <c r="Q14">
        <v>2.5423899999999999E-2</v>
      </c>
      <c r="R14">
        <v>2.4647200000000001E-2</v>
      </c>
      <c r="S14">
        <v>2.48834E-2</v>
      </c>
      <c r="T14">
        <v>2.45872E-2</v>
      </c>
      <c r="U14">
        <v>2.4677500000000002E-2</v>
      </c>
      <c r="V14">
        <v>2.46146E-2</v>
      </c>
      <c r="W14">
        <v>2.4716399999999999E-2</v>
      </c>
      <c r="X14">
        <v>2.4972100000000001E-2</v>
      </c>
      <c r="Y14">
        <v>2.6633400000000002E-2</v>
      </c>
      <c r="Z14">
        <v>3.15784E-2</v>
      </c>
      <c r="AA14">
        <v>4.1657100000000002E-2</v>
      </c>
      <c r="AB14">
        <v>6.2837599999999993E-2</v>
      </c>
      <c r="AC14">
        <v>0.10535899999999999</v>
      </c>
      <c r="AD14">
        <v>0.19050600000000001</v>
      </c>
      <c r="AE14">
        <v>0.36598399999999998</v>
      </c>
      <c r="AF14">
        <v>0.71248400000000001</v>
      </c>
    </row>
    <row r="15" spans="1:32" x14ac:dyDescent="0.25">
      <c r="A15">
        <v>3.2439099999999998E-2</v>
      </c>
      <c r="B15">
        <v>3.2016900000000001E-2</v>
      </c>
      <c r="C15">
        <v>3.2705699999999997E-2</v>
      </c>
      <c r="D15">
        <v>3.2935499999999999E-2</v>
      </c>
      <c r="E15">
        <v>3.1884799999999998E-2</v>
      </c>
      <c r="F15">
        <v>3.2333800000000003E-2</v>
      </c>
      <c r="G15">
        <v>3.3000599999999998E-2</v>
      </c>
      <c r="H15">
        <v>3.2566699999999997E-2</v>
      </c>
      <c r="I15">
        <v>3.3583099999999998E-2</v>
      </c>
      <c r="J15">
        <v>3.7606899999999999E-2</v>
      </c>
      <c r="K15">
        <v>4.5496399999999999E-2</v>
      </c>
      <c r="L15">
        <v>6.3016199999999994E-2</v>
      </c>
      <c r="M15">
        <v>9.7429199999999994E-2</v>
      </c>
      <c r="N15">
        <v>0.16603200000000001</v>
      </c>
      <c r="O15">
        <v>0.30808999999999997</v>
      </c>
      <c r="P15">
        <v>0.58901400000000004</v>
      </c>
      <c r="Q15">
        <v>2.5789800000000002E-2</v>
      </c>
      <c r="R15">
        <v>2.4692599999999999E-2</v>
      </c>
      <c r="S15">
        <v>2.4971799999999999E-2</v>
      </c>
      <c r="T15">
        <v>2.4594499999999998E-2</v>
      </c>
      <c r="U15">
        <v>2.4968400000000002E-2</v>
      </c>
      <c r="V15">
        <v>2.43956E-2</v>
      </c>
      <c r="W15">
        <v>2.48249E-2</v>
      </c>
      <c r="X15">
        <v>2.5143700000000001E-2</v>
      </c>
      <c r="Y15">
        <v>2.6783100000000001E-2</v>
      </c>
      <c r="Z15">
        <v>3.1328399999999999E-2</v>
      </c>
      <c r="AA15">
        <v>4.1595699999999999E-2</v>
      </c>
      <c r="AB15">
        <v>6.2492399999999997E-2</v>
      </c>
      <c r="AC15">
        <v>0.10540099999999999</v>
      </c>
      <c r="AD15">
        <v>0.19028700000000001</v>
      </c>
      <c r="AE15">
        <v>0.36602899999999999</v>
      </c>
      <c r="AF15">
        <v>0.71248599999999995</v>
      </c>
    </row>
    <row r="16" spans="1:32" x14ac:dyDescent="0.25">
      <c r="A16">
        <v>3.2434499999999998E-2</v>
      </c>
      <c r="B16">
        <v>3.2571000000000003E-2</v>
      </c>
      <c r="C16">
        <v>3.2155700000000002E-2</v>
      </c>
      <c r="D16">
        <v>3.31293E-2</v>
      </c>
      <c r="E16">
        <v>3.2471300000000002E-2</v>
      </c>
      <c r="F16">
        <v>3.2530499999999997E-2</v>
      </c>
      <c r="G16">
        <v>3.3126299999999997E-2</v>
      </c>
      <c r="H16">
        <v>3.2543999999999997E-2</v>
      </c>
      <c r="I16">
        <v>3.3500200000000001E-2</v>
      </c>
      <c r="J16">
        <v>3.9040999999999999E-2</v>
      </c>
      <c r="K16">
        <v>4.4623900000000001E-2</v>
      </c>
      <c r="L16">
        <v>6.2573199999999995E-2</v>
      </c>
      <c r="M16">
        <v>9.7144099999999997E-2</v>
      </c>
      <c r="N16">
        <v>0.16608500000000001</v>
      </c>
      <c r="O16">
        <v>0.30808000000000002</v>
      </c>
      <c r="P16">
        <v>0.58842899999999998</v>
      </c>
      <c r="Q16">
        <v>2.4863199999999998E-2</v>
      </c>
      <c r="R16">
        <v>2.4610300000000002E-2</v>
      </c>
      <c r="S16">
        <v>2.46579E-2</v>
      </c>
      <c r="T16">
        <v>2.43868E-2</v>
      </c>
      <c r="U16">
        <v>2.4542600000000001E-2</v>
      </c>
      <c r="V16">
        <v>2.4495099999999999E-2</v>
      </c>
      <c r="W16">
        <v>2.4767399999999998E-2</v>
      </c>
      <c r="X16">
        <v>2.5387199999999999E-2</v>
      </c>
      <c r="Y16">
        <v>2.6917699999999999E-2</v>
      </c>
      <c r="Z16">
        <v>3.1405500000000003E-2</v>
      </c>
      <c r="AA16">
        <v>4.1531100000000001E-2</v>
      </c>
      <c r="AB16">
        <v>6.2758599999999998E-2</v>
      </c>
      <c r="AC16">
        <v>0.10528899999999999</v>
      </c>
      <c r="AD16">
        <v>0.19084999999999999</v>
      </c>
      <c r="AE16">
        <v>0.36604500000000001</v>
      </c>
      <c r="AF16">
        <v>0.71244799999999997</v>
      </c>
    </row>
    <row r="17" spans="1:32" x14ac:dyDescent="0.25">
      <c r="A17">
        <v>3.2265200000000001E-2</v>
      </c>
      <c r="B17">
        <v>3.3335299999999998E-2</v>
      </c>
      <c r="C17">
        <v>3.2586400000000001E-2</v>
      </c>
      <c r="D17">
        <v>3.3198400000000003E-2</v>
      </c>
      <c r="E17">
        <v>3.2189200000000001E-2</v>
      </c>
      <c r="F17">
        <v>3.2732799999999999E-2</v>
      </c>
      <c r="G17">
        <v>3.2908E-2</v>
      </c>
      <c r="H17">
        <v>3.3004400000000003E-2</v>
      </c>
      <c r="I17">
        <v>3.3853500000000002E-2</v>
      </c>
      <c r="J17">
        <v>3.7445300000000001E-2</v>
      </c>
      <c r="K17">
        <v>4.5619600000000003E-2</v>
      </c>
      <c r="L17">
        <v>6.2556899999999999E-2</v>
      </c>
      <c r="M17">
        <v>9.6970100000000004E-2</v>
      </c>
      <c r="N17">
        <v>0.16585900000000001</v>
      </c>
      <c r="O17">
        <v>0.30813200000000002</v>
      </c>
      <c r="P17">
        <v>0.58848500000000004</v>
      </c>
      <c r="Q17">
        <v>2.49996E-2</v>
      </c>
      <c r="R17">
        <v>2.4891199999999999E-2</v>
      </c>
      <c r="S17">
        <v>2.47332E-2</v>
      </c>
      <c r="T17">
        <v>2.46684E-2</v>
      </c>
      <c r="U17">
        <v>2.52486E-2</v>
      </c>
      <c r="V17">
        <v>2.4819299999999999E-2</v>
      </c>
      <c r="W17">
        <v>2.48133E-2</v>
      </c>
      <c r="X17">
        <v>2.5207E-2</v>
      </c>
      <c r="Y17">
        <v>2.66454E-2</v>
      </c>
      <c r="Z17">
        <v>3.1551799999999998E-2</v>
      </c>
      <c r="AA17">
        <v>4.15149E-2</v>
      </c>
      <c r="AB17">
        <v>6.2681100000000003E-2</v>
      </c>
      <c r="AC17">
        <v>0.105305</v>
      </c>
      <c r="AD17">
        <v>0.191687</v>
      </c>
      <c r="AE17">
        <v>0.36612299999999998</v>
      </c>
      <c r="AF17">
        <v>0.71253200000000005</v>
      </c>
    </row>
    <row r="18" spans="1:32" x14ac:dyDescent="0.25">
      <c r="A18">
        <v>3.2861599999999998E-2</v>
      </c>
      <c r="B18">
        <v>3.2708800000000003E-2</v>
      </c>
      <c r="C18">
        <v>3.2419499999999997E-2</v>
      </c>
      <c r="D18">
        <v>3.2951899999999999E-2</v>
      </c>
      <c r="E18">
        <v>3.2443600000000003E-2</v>
      </c>
      <c r="F18">
        <v>3.3196299999999998E-2</v>
      </c>
      <c r="G18">
        <v>3.21105E-2</v>
      </c>
      <c r="H18">
        <v>3.3334200000000001E-2</v>
      </c>
      <c r="I18">
        <v>3.4545100000000002E-2</v>
      </c>
      <c r="J18">
        <v>3.7635500000000002E-2</v>
      </c>
      <c r="K18">
        <v>4.6239099999999998E-2</v>
      </c>
      <c r="L18">
        <v>6.2565499999999996E-2</v>
      </c>
      <c r="M18">
        <v>9.7282300000000002E-2</v>
      </c>
      <c r="N18">
        <v>0.165885</v>
      </c>
      <c r="O18">
        <v>0.30842999999999998</v>
      </c>
      <c r="P18">
        <v>0.58905600000000002</v>
      </c>
      <c r="Q18">
        <v>2.5135299999999999E-2</v>
      </c>
      <c r="R18">
        <v>2.4334000000000001E-2</v>
      </c>
      <c r="S18">
        <v>2.49699E-2</v>
      </c>
      <c r="T18">
        <v>2.4706200000000001E-2</v>
      </c>
      <c r="U18">
        <v>2.4804199999999998E-2</v>
      </c>
      <c r="V18">
        <v>2.4927899999999999E-2</v>
      </c>
      <c r="W18">
        <v>2.4743999999999999E-2</v>
      </c>
      <c r="X18">
        <v>2.5239299999999999E-2</v>
      </c>
      <c r="Y18">
        <v>2.6505299999999999E-2</v>
      </c>
      <c r="Z18">
        <v>3.1381399999999997E-2</v>
      </c>
      <c r="AA18">
        <v>4.1538499999999999E-2</v>
      </c>
      <c r="AB18">
        <v>6.2703700000000001E-2</v>
      </c>
      <c r="AC18">
        <v>0.10561</v>
      </c>
      <c r="AD18">
        <v>0.193277</v>
      </c>
      <c r="AE18">
        <v>0.36607299999999998</v>
      </c>
      <c r="AF18">
        <v>0.71245400000000003</v>
      </c>
    </row>
    <row r="19" spans="1:32" x14ac:dyDescent="0.25">
      <c r="A19">
        <v>3.2506599999999997E-2</v>
      </c>
      <c r="B19">
        <v>3.2497400000000003E-2</v>
      </c>
      <c r="C19">
        <v>3.2946900000000001E-2</v>
      </c>
      <c r="D19">
        <v>3.33981E-2</v>
      </c>
      <c r="E19">
        <v>3.3054100000000003E-2</v>
      </c>
      <c r="F19">
        <v>3.3068300000000002E-2</v>
      </c>
      <c r="G19">
        <v>3.2598700000000001E-2</v>
      </c>
      <c r="H19">
        <v>3.30207E-2</v>
      </c>
      <c r="I19">
        <v>3.4359899999999999E-2</v>
      </c>
      <c r="J19">
        <v>3.77778E-2</v>
      </c>
      <c r="K19">
        <v>4.5329700000000001E-2</v>
      </c>
      <c r="L19">
        <v>6.2764899999999998E-2</v>
      </c>
      <c r="M19">
        <v>9.7589599999999999E-2</v>
      </c>
      <c r="N19">
        <v>0.16625499999999999</v>
      </c>
      <c r="O19">
        <v>0.30818800000000002</v>
      </c>
      <c r="P19">
        <v>0.58829200000000004</v>
      </c>
      <c r="Q19">
        <v>2.4773E-2</v>
      </c>
      <c r="R19">
        <v>2.4992E-2</v>
      </c>
      <c r="S19">
        <v>2.4830600000000001E-2</v>
      </c>
      <c r="T19">
        <v>2.4802600000000001E-2</v>
      </c>
      <c r="U19">
        <v>2.4700300000000001E-2</v>
      </c>
      <c r="V19">
        <v>2.5033099999999999E-2</v>
      </c>
      <c r="W19">
        <v>2.50808E-2</v>
      </c>
      <c r="X19">
        <v>2.5240800000000001E-2</v>
      </c>
      <c r="Y19">
        <v>2.6627700000000001E-2</v>
      </c>
      <c r="Z19">
        <v>3.1351299999999999E-2</v>
      </c>
      <c r="AA19">
        <v>4.1557200000000002E-2</v>
      </c>
      <c r="AB19">
        <v>6.2474399999999999E-2</v>
      </c>
      <c r="AC19">
        <v>0.10541499999999999</v>
      </c>
      <c r="AD19">
        <v>0.19334100000000001</v>
      </c>
      <c r="AE19">
        <v>0.36605799999999999</v>
      </c>
      <c r="AF19">
        <v>0.71250800000000003</v>
      </c>
    </row>
    <row r="20" spans="1:32" x14ac:dyDescent="0.25">
      <c r="A20">
        <v>3.2582100000000003E-2</v>
      </c>
      <c r="B20">
        <v>3.2254900000000003E-2</v>
      </c>
      <c r="C20">
        <v>3.2826000000000001E-2</v>
      </c>
      <c r="D20">
        <v>3.2909500000000001E-2</v>
      </c>
      <c r="E20">
        <v>3.2719900000000003E-2</v>
      </c>
      <c r="F20">
        <v>3.2773900000000002E-2</v>
      </c>
      <c r="G20">
        <v>3.3804800000000003E-2</v>
      </c>
      <c r="H20">
        <v>3.2844400000000003E-2</v>
      </c>
      <c r="I20">
        <v>3.7119199999999998E-2</v>
      </c>
      <c r="J20">
        <v>3.80951E-2</v>
      </c>
      <c r="K20">
        <v>4.6380600000000001E-2</v>
      </c>
      <c r="L20">
        <v>6.3135300000000005E-2</v>
      </c>
      <c r="M20">
        <v>9.7248000000000001E-2</v>
      </c>
      <c r="N20">
        <v>0.16587399999999999</v>
      </c>
      <c r="O20">
        <v>0.30854599999999999</v>
      </c>
      <c r="P20">
        <v>0.588669</v>
      </c>
      <c r="Q20">
        <v>2.5014499999999999E-2</v>
      </c>
      <c r="R20">
        <v>2.48986E-2</v>
      </c>
      <c r="S20">
        <v>2.4864199999999999E-2</v>
      </c>
      <c r="T20">
        <v>2.45493E-2</v>
      </c>
      <c r="U20">
        <v>2.4605200000000001E-2</v>
      </c>
      <c r="V20">
        <v>2.4573299999999999E-2</v>
      </c>
      <c r="W20">
        <v>2.5092699999999999E-2</v>
      </c>
      <c r="X20">
        <v>2.4840299999999999E-2</v>
      </c>
      <c r="Y20">
        <v>2.6555499999999999E-2</v>
      </c>
      <c r="Z20">
        <v>3.1615900000000002E-2</v>
      </c>
      <c r="AA20">
        <v>4.1629600000000003E-2</v>
      </c>
      <c r="AB20">
        <v>6.2604599999999996E-2</v>
      </c>
      <c r="AC20">
        <v>0.105466</v>
      </c>
      <c r="AD20">
        <v>0.19325300000000001</v>
      </c>
      <c r="AE20">
        <v>0.36604700000000001</v>
      </c>
      <c r="AF20">
        <v>0.71264400000000006</v>
      </c>
    </row>
    <row r="21" spans="1:32" x14ac:dyDescent="0.25">
      <c r="A21">
        <v>3.2527100000000003E-2</v>
      </c>
      <c r="B21">
        <v>3.24271E-2</v>
      </c>
      <c r="C21">
        <v>3.22145E-2</v>
      </c>
      <c r="D21">
        <v>3.2850900000000002E-2</v>
      </c>
      <c r="E21">
        <v>3.3236000000000002E-2</v>
      </c>
      <c r="F21">
        <v>3.2746499999999998E-2</v>
      </c>
      <c r="G21">
        <v>3.3401100000000003E-2</v>
      </c>
      <c r="H21">
        <v>3.3844199999999998E-2</v>
      </c>
      <c r="I21">
        <v>3.4729200000000002E-2</v>
      </c>
      <c r="J21">
        <v>3.73099E-2</v>
      </c>
      <c r="K21">
        <v>4.6014399999999997E-2</v>
      </c>
      <c r="L21">
        <v>6.2925800000000004E-2</v>
      </c>
      <c r="M21">
        <v>9.71635E-2</v>
      </c>
      <c r="N21">
        <v>0.166051</v>
      </c>
      <c r="O21">
        <v>0.30753799999999998</v>
      </c>
      <c r="P21">
        <v>0.58918499999999996</v>
      </c>
      <c r="Q21">
        <v>2.4867199999999999E-2</v>
      </c>
      <c r="R21">
        <v>2.4883499999999999E-2</v>
      </c>
      <c r="S21">
        <v>2.4583600000000001E-2</v>
      </c>
      <c r="T21">
        <v>2.4845099999999998E-2</v>
      </c>
      <c r="U21">
        <v>2.4418499999999999E-2</v>
      </c>
      <c r="V21">
        <v>2.4835800000000002E-2</v>
      </c>
      <c r="W21">
        <v>2.5186400000000001E-2</v>
      </c>
      <c r="X21">
        <v>2.5677999999999999E-2</v>
      </c>
      <c r="Y21">
        <v>2.6593800000000001E-2</v>
      </c>
      <c r="Z21">
        <v>3.11635E-2</v>
      </c>
      <c r="AA21">
        <v>4.1661299999999998E-2</v>
      </c>
      <c r="AB21">
        <v>6.2659099999999995E-2</v>
      </c>
      <c r="AC21">
        <v>0.10551000000000001</v>
      </c>
      <c r="AD21">
        <v>0.19311600000000001</v>
      </c>
      <c r="AE21">
        <v>0.36595499999999997</v>
      </c>
      <c r="AF21">
        <v>0.71269400000000005</v>
      </c>
    </row>
    <row r="22" spans="1:32" x14ac:dyDescent="0.25">
      <c r="A22">
        <v>3.3202700000000002E-2</v>
      </c>
      <c r="B22">
        <v>3.2408600000000003E-2</v>
      </c>
      <c r="C22">
        <v>3.2598799999999997E-2</v>
      </c>
      <c r="D22">
        <v>3.2578000000000003E-2</v>
      </c>
      <c r="E22">
        <v>3.2405799999999998E-2</v>
      </c>
      <c r="F22">
        <v>3.3677100000000001E-2</v>
      </c>
      <c r="G22">
        <v>3.3018699999999998E-2</v>
      </c>
      <c r="H22">
        <v>3.3221300000000002E-2</v>
      </c>
      <c r="I22">
        <v>3.5147400000000002E-2</v>
      </c>
      <c r="J22">
        <v>3.7740200000000002E-2</v>
      </c>
      <c r="K22">
        <v>4.5192099999999999E-2</v>
      </c>
      <c r="L22">
        <v>6.29083E-2</v>
      </c>
      <c r="M22">
        <v>9.6800499999999998E-2</v>
      </c>
      <c r="N22">
        <v>0.16672600000000001</v>
      </c>
      <c r="O22">
        <v>0.30841800000000003</v>
      </c>
      <c r="P22">
        <v>0.58847799999999995</v>
      </c>
      <c r="Q22">
        <v>2.4871600000000001E-2</v>
      </c>
      <c r="R22">
        <v>2.4376999999999999E-2</v>
      </c>
      <c r="S22">
        <v>2.44207E-2</v>
      </c>
      <c r="T22">
        <v>2.4669400000000001E-2</v>
      </c>
      <c r="U22">
        <v>2.46679E-2</v>
      </c>
      <c r="V22">
        <v>2.4709200000000001E-2</v>
      </c>
      <c r="W22">
        <v>2.5075099999999999E-2</v>
      </c>
      <c r="X22">
        <v>2.5219100000000001E-2</v>
      </c>
      <c r="Y22">
        <v>2.6669200000000001E-2</v>
      </c>
      <c r="Z22">
        <v>3.1319100000000002E-2</v>
      </c>
      <c r="AA22">
        <v>4.1447900000000003E-2</v>
      </c>
      <c r="AB22">
        <v>6.2977699999999998E-2</v>
      </c>
      <c r="AC22">
        <v>0.10552300000000001</v>
      </c>
      <c r="AD22">
        <v>0.193268</v>
      </c>
      <c r="AE22">
        <v>0.36620999999999998</v>
      </c>
      <c r="AF22">
        <v>0.71280299999999996</v>
      </c>
    </row>
    <row r="23" spans="1:32" x14ac:dyDescent="0.25">
      <c r="A23">
        <v>3.3166800000000003E-2</v>
      </c>
      <c r="B23">
        <v>3.2453299999999997E-2</v>
      </c>
      <c r="C23">
        <v>3.2185600000000002E-2</v>
      </c>
      <c r="D23">
        <v>3.2641200000000002E-2</v>
      </c>
      <c r="E23">
        <v>3.2852699999999999E-2</v>
      </c>
      <c r="F23">
        <v>3.3416399999999999E-2</v>
      </c>
      <c r="G23">
        <v>3.3489699999999997E-2</v>
      </c>
      <c r="H23">
        <v>3.3866500000000001E-2</v>
      </c>
      <c r="I23">
        <v>3.3970800000000002E-2</v>
      </c>
      <c r="J23">
        <v>3.7497900000000001E-2</v>
      </c>
      <c r="K23">
        <v>4.5439899999999998E-2</v>
      </c>
      <c r="L23">
        <v>6.2659500000000007E-2</v>
      </c>
      <c r="M23">
        <v>9.7627599999999995E-2</v>
      </c>
      <c r="N23">
        <v>0.16619200000000001</v>
      </c>
      <c r="O23">
        <v>0.30807299999999999</v>
      </c>
      <c r="P23">
        <v>0.58857400000000004</v>
      </c>
      <c r="Q23">
        <v>2.4755099999999999E-2</v>
      </c>
      <c r="R23">
        <v>2.46433E-2</v>
      </c>
      <c r="S23">
        <v>2.45499E-2</v>
      </c>
      <c r="T23">
        <v>2.4637800000000001E-2</v>
      </c>
      <c r="U23">
        <v>2.4945200000000001E-2</v>
      </c>
      <c r="V23">
        <v>2.4596199999999999E-2</v>
      </c>
      <c r="W23">
        <v>2.5055999999999998E-2</v>
      </c>
      <c r="X23">
        <v>2.4870799999999998E-2</v>
      </c>
      <c r="Y23">
        <v>2.6918600000000001E-2</v>
      </c>
      <c r="Z23">
        <v>3.1221700000000002E-2</v>
      </c>
      <c r="AA23">
        <v>4.1721399999999999E-2</v>
      </c>
      <c r="AB23">
        <v>6.2698500000000004E-2</v>
      </c>
      <c r="AC23">
        <v>0.105379</v>
      </c>
      <c r="AD23">
        <v>0.19323399999999999</v>
      </c>
      <c r="AE23">
        <v>0.36613600000000002</v>
      </c>
      <c r="AF23">
        <v>0.71251399999999998</v>
      </c>
    </row>
    <row r="24" spans="1:32" x14ac:dyDescent="0.25">
      <c r="A24">
        <v>3.2337900000000003E-2</v>
      </c>
      <c r="B24">
        <v>3.2723299999999997E-2</v>
      </c>
      <c r="C24">
        <v>3.3092900000000001E-2</v>
      </c>
      <c r="D24">
        <v>3.2772799999999998E-2</v>
      </c>
      <c r="E24">
        <v>3.37147E-2</v>
      </c>
      <c r="F24">
        <v>3.29698E-2</v>
      </c>
      <c r="G24">
        <v>3.3614999999999999E-2</v>
      </c>
      <c r="H24">
        <v>3.3711999999999999E-2</v>
      </c>
      <c r="I24">
        <v>3.3833299999999997E-2</v>
      </c>
      <c r="J24">
        <v>3.8729899999999998E-2</v>
      </c>
      <c r="K24">
        <v>4.5296799999999998E-2</v>
      </c>
      <c r="L24">
        <v>6.2391500000000003E-2</v>
      </c>
      <c r="M24">
        <v>9.7655199999999998E-2</v>
      </c>
      <c r="N24">
        <v>0.16605300000000001</v>
      </c>
      <c r="O24">
        <v>0.30828100000000003</v>
      </c>
      <c r="P24">
        <v>0.58847899999999997</v>
      </c>
      <c r="Q24">
        <v>2.48466E-2</v>
      </c>
      <c r="R24">
        <v>2.4757999999999999E-2</v>
      </c>
      <c r="S24">
        <v>2.4462899999999999E-2</v>
      </c>
      <c r="T24">
        <v>2.4619700000000001E-2</v>
      </c>
      <c r="U24">
        <v>2.45585E-2</v>
      </c>
      <c r="V24">
        <v>2.4615000000000001E-2</v>
      </c>
      <c r="W24">
        <v>2.4963900000000001E-2</v>
      </c>
      <c r="X24">
        <v>2.4831800000000001E-2</v>
      </c>
      <c r="Y24">
        <v>2.6959799999999999E-2</v>
      </c>
      <c r="Z24">
        <v>3.1277600000000003E-2</v>
      </c>
      <c r="AA24">
        <v>4.1860099999999997E-2</v>
      </c>
      <c r="AB24">
        <v>6.2713199999999997E-2</v>
      </c>
      <c r="AC24">
        <v>0.105325</v>
      </c>
      <c r="AD24">
        <v>0.19334899999999999</v>
      </c>
      <c r="AE24">
        <v>0.36594500000000002</v>
      </c>
      <c r="AF24">
        <v>0.71262700000000001</v>
      </c>
    </row>
    <row r="25" spans="1:32" x14ac:dyDescent="0.25">
      <c r="A25">
        <v>3.24961E-2</v>
      </c>
      <c r="B25">
        <v>3.3816300000000001E-2</v>
      </c>
      <c r="C25">
        <v>3.2307799999999998E-2</v>
      </c>
      <c r="D25">
        <v>3.2424399999999999E-2</v>
      </c>
      <c r="E25">
        <v>3.2665800000000002E-2</v>
      </c>
      <c r="F25">
        <v>3.4351899999999998E-2</v>
      </c>
      <c r="G25">
        <v>3.4038300000000001E-2</v>
      </c>
      <c r="H25">
        <v>3.28834E-2</v>
      </c>
      <c r="I25">
        <v>3.3634900000000002E-2</v>
      </c>
      <c r="J25">
        <v>3.79853E-2</v>
      </c>
      <c r="K25">
        <v>4.5042600000000002E-2</v>
      </c>
      <c r="L25">
        <v>6.2364200000000002E-2</v>
      </c>
      <c r="M25">
        <v>9.7051600000000002E-2</v>
      </c>
      <c r="N25">
        <v>0.16603499999999999</v>
      </c>
      <c r="O25">
        <v>0.30798900000000001</v>
      </c>
      <c r="P25">
        <v>0.58869099999999996</v>
      </c>
      <c r="Q25">
        <v>2.5226700000000001E-2</v>
      </c>
      <c r="R25">
        <v>2.4767899999999999E-2</v>
      </c>
      <c r="S25">
        <v>2.4832E-2</v>
      </c>
      <c r="T25">
        <v>2.44195E-2</v>
      </c>
      <c r="U25">
        <v>2.45312E-2</v>
      </c>
      <c r="V25">
        <v>2.50155E-2</v>
      </c>
      <c r="W25">
        <v>2.4920000000000001E-2</v>
      </c>
      <c r="X25">
        <v>2.5236600000000001E-2</v>
      </c>
      <c r="Y25">
        <v>2.6561700000000001E-2</v>
      </c>
      <c r="Z25">
        <v>3.1516099999999998E-2</v>
      </c>
      <c r="AA25">
        <v>4.1690400000000002E-2</v>
      </c>
      <c r="AB25">
        <v>6.2645500000000007E-2</v>
      </c>
      <c r="AC25">
        <v>0.10523399999999999</v>
      </c>
      <c r="AD25">
        <v>0.19351099999999999</v>
      </c>
      <c r="AE25">
        <v>0.36612800000000001</v>
      </c>
      <c r="AF25">
        <v>0.712704</v>
      </c>
    </row>
    <row r="26" spans="1:32" x14ac:dyDescent="0.25">
      <c r="A26">
        <v>3.2547600000000003E-2</v>
      </c>
      <c r="B26">
        <v>3.3977500000000001E-2</v>
      </c>
      <c r="C26">
        <v>3.3600400000000002E-2</v>
      </c>
      <c r="D26">
        <v>3.25282E-2</v>
      </c>
      <c r="E26">
        <v>3.2547899999999998E-2</v>
      </c>
      <c r="F26">
        <v>3.3086999999999998E-2</v>
      </c>
      <c r="G26">
        <v>3.2543299999999997E-2</v>
      </c>
      <c r="H26">
        <v>3.2945299999999997E-2</v>
      </c>
      <c r="I26">
        <v>3.3800900000000002E-2</v>
      </c>
      <c r="J26">
        <v>3.78012E-2</v>
      </c>
      <c r="K26">
        <v>4.5876300000000002E-2</v>
      </c>
      <c r="L26">
        <v>6.2725100000000006E-2</v>
      </c>
      <c r="M26">
        <v>9.7087099999999996E-2</v>
      </c>
      <c r="N26">
        <v>0.165629</v>
      </c>
      <c r="O26">
        <v>0.30841000000000002</v>
      </c>
      <c r="P26">
        <v>0.58808400000000005</v>
      </c>
      <c r="Q26">
        <v>2.4623200000000001E-2</v>
      </c>
      <c r="R26">
        <v>2.4853299999999998E-2</v>
      </c>
      <c r="S26">
        <v>2.45166E-2</v>
      </c>
      <c r="T26">
        <v>2.4922300000000001E-2</v>
      </c>
      <c r="U26">
        <v>2.4563499999999999E-2</v>
      </c>
      <c r="V26">
        <v>2.49803E-2</v>
      </c>
      <c r="W26">
        <v>2.50377E-2</v>
      </c>
      <c r="X26">
        <v>2.5337200000000001E-2</v>
      </c>
      <c r="Y26">
        <v>2.6627899999999999E-2</v>
      </c>
      <c r="Z26">
        <v>3.1389500000000001E-2</v>
      </c>
      <c r="AA26">
        <v>4.15996E-2</v>
      </c>
      <c r="AB26">
        <v>6.2927899999999995E-2</v>
      </c>
      <c r="AC26">
        <v>0.10524500000000001</v>
      </c>
      <c r="AD26">
        <v>0.19316700000000001</v>
      </c>
      <c r="AE26">
        <v>0.36614400000000002</v>
      </c>
      <c r="AF26">
        <v>0.712723</v>
      </c>
    </row>
    <row r="27" spans="1:32" x14ac:dyDescent="0.25">
      <c r="A27">
        <v>3.2522099999999998E-2</v>
      </c>
      <c r="B27">
        <v>3.3675700000000003E-2</v>
      </c>
      <c r="C27">
        <v>3.2454200000000002E-2</v>
      </c>
      <c r="D27">
        <v>3.3208000000000001E-2</v>
      </c>
      <c r="E27">
        <v>3.2767600000000001E-2</v>
      </c>
      <c r="F27">
        <v>3.2976199999999997E-2</v>
      </c>
      <c r="G27">
        <v>3.2426799999999999E-2</v>
      </c>
      <c r="H27">
        <v>3.3637599999999997E-2</v>
      </c>
      <c r="I27">
        <v>3.4241500000000001E-2</v>
      </c>
      <c r="J27">
        <v>3.7204899999999999E-2</v>
      </c>
      <c r="K27">
        <v>4.5778800000000001E-2</v>
      </c>
      <c r="L27">
        <v>6.2755099999999994E-2</v>
      </c>
      <c r="M27">
        <v>9.7292699999999996E-2</v>
      </c>
      <c r="N27">
        <v>0.165995</v>
      </c>
      <c r="O27">
        <v>0.307921</v>
      </c>
      <c r="P27">
        <v>0.588866</v>
      </c>
      <c r="Q27">
        <v>2.5066000000000001E-2</v>
      </c>
      <c r="R27">
        <v>2.5067300000000001E-2</v>
      </c>
      <c r="S27">
        <v>2.4520400000000001E-2</v>
      </c>
      <c r="T27">
        <v>2.4837399999999999E-2</v>
      </c>
      <c r="U27">
        <v>2.4842300000000001E-2</v>
      </c>
      <c r="V27">
        <v>2.49663E-2</v>
      </c>
      <c r="W27">
        <v>2.4866699999999999E-2</v>
      </c>
      <c r="X27">
        <v>2.5154300000000001E-2</v>
      </c>
      <c r="Y27">
        <v>2.6622699999999999E-2</v>
      </c>
      <c r="Z27">
        <v>3.1523200000000001E-2</v>
      </c>
      <c r="AA27">
        <v>4.16423E-2</v>
      </c>
      <c r="AB27">
        <v>6.2687499999999993E-2</v>
      </c>
      <c r="AC27">
        <v>0.105367</v>
      </c>
      <c r="AD27">
        <v>0.19311200000000001</v>
      </c>
      <c r="AE27">
        <v>0.366008</v>
      </c>
      <c r="AF27">
        <v>0.712812</v>
      </c>
    </row>
    <row r="28" spans="1:32" x14ac:dyDescent="0.25">
      <c r="A28">
        <v>3.3405799999999999E-2</v>
      </c>
      <c r="B28">
        <v>3.3487799999999998E-2</v>
      </c>
      <c r="C28">
        <v>3.2532699999999998E-2</v>
      </c>
      <c r="D28">
        <v>3.3132700000000001E-2</v>
      </c>
      <c r="E28">
        <v>3.2640799999999998E-2</v>
      </c>
      <c r="F28">
        <v>3.2756199999999999E-2</v>
      </c>
      <c r="G28">
        <v>3.2165100000000002E-2</v>
      </c>
      <c r="H28">
        <v>3.2681300000000003E-2</v>
      </c>
      <c r="I28">
        <v>3.4442800000000003E-2</v>
      </c>
      <c r="J28">
        <v>3.7299400000000003E-2</v>
      </c>
      <c r="K28">
        <v>4.5470200000000002E-2</v>
      </c>
      <c r="L28">
        <v>6.2453000000000002E-2</v>
      </c>
      <c r="M28">
        <v>9.73937E-2</v>
      </c>
      <c r="N28">
        <v>0.165876</v>
      </c>
      <c r="O28">
        <v>0.30769600000000003</v>
      </c>
      <c r="P28">
        <v>0.58840700000000001</v>
      </c>
      <c r="Q28">
        <v>2.4697400000000001E-2</v>
      </c>
      <c r="R28">
        <v>2.49435E-2</v>
      </c>
      <c r="S28">
        <v>2.4755699999999999E-2</v>
      </c>
      <c r="T28">
        <v>2.4769900000000001E-2</v>
      </c>
      <c r="U28">
        <v>2.4567700000000001E-2</v>
      </c>
      <c r="V28">
        <v>2.45463E-2</v>
      </c>
      <c r="W28">
        <v>2.5000999999999999E-2</v>
      </c>
      <c r="X28">
        <v>2.5250700000000001E-2</v>
      </c>
      <c r="Y28">
        <v>2.6803799999999999E-2</v>
      </c>
      <c r="Z28">
        <v>3.1347899999999998E-2</v>
      </c>
      <c r="AA28">
        <v>4.1987700000000003E-2</v>
      </c>
      <c r="AB28">
        <v>6.2837599999999993E-2</v>
      </c>
      <c r="AC28">
        <v>0.10559200000000001</v>
      </c>
      <c r="AD28">
        <v>0.193635</v>
      </c>
      <c r="AE28">
        <v>0.36604399999999998</v>
      </c>
      <c r="AF28">
        <v>0.712866</v>
      </c>
    </row>
    <row r="29" spans="1:32" x14ac:dyDescent="0.25">
      <c r="A29">
        <v>3.2368300000000003E-2</v>
      </c>
      <c r="B29">
        <v>3.2155700000000002E-2</v>
      </c>
      <c r="C29">
        <v>3.2412000000000003E-2</v>
      </c>
      <c r="D29">
        <v>3.22799E-2</v>
      </c>
      <c r="E29">
        <v>3.2819399999999999E-2</v>
      </c>
      <c r="F29">
        <v>3.5430099999999999E-2</v>
      </c>
      <c r="G29">
        <v>3.3027099999999997E-2</v>
      </c>
      <c r="H29">
        <v>3.2909300000000002E-2</v>
      </c>
      <c r="I29">
        <v>3.4101100000000002E-2</v>
      </c>
      <c r="J29">
        <v>3.78159E-2</v>
      </c>
      <c r="K29">
        <v>4.6335500000000002E-2</v>
      </c>
      <c r="L29">
        <v>6.2739000000000003E-2</v>
      </c>
      <c r="M29">
        <v>9.7452899999999995E-2</v>
      </c>
      <c r="N29">
        <v>0.165854</v>
      </c>
      <c r="O29">
        <v>0.30807600000000002</v>
      </c>
      <c r="P29">
        <v>0.58804500000000004</v>
      </c>
      <c r="Q29">
        <v>2.4683E-2</v>
      </c>
      <c r="R29">
        <v>2.5081599999999999E-2</v>
      </c>
      <c r="S29">
        <v>2.4998699999999999E-2</v>
      </c>
      <c r="T29">
        <v>2.45568E-2</v>
      </c>
      <c r="U29">
        <v>2.4428600000000002E-2</v>
      </c>
      <c r="V29">
        <v>2.4895299999999999E-2</v>
      </c>
      <c r="W29">
        <v>2.4990399999999999E-2</v>
      </c>
      <c r="X29">
        <v>2.52649E-2</v>
      </c>
      <c r="Y29">
        <v>2.6780399999999999E-2</v>
      </c>
      <c r="Z29">
        <v>3.1333800000000002E-2</v>
      </c>
      <c r="AA29">
        <v>4.1589599999999997E-2</v>
      </c>
      <c r="AB29">
        <v>6.2813300000000002E-2</v>
      </c>
      <c r="AC29">
        <v>0.105055</v>
      </c>
      <c r="AD29">
        <v>0.19302</v>
      </c>
      <c r="AE29">
        <v>0.36611100000000002</v>
      </c>
      <c r="AF29">
        <v>0.71267400000000003</v>
      </c>
    </row>
    <row r="30" spans="1:32" x14ac:dyDescent="0.25">
      <c r="A30">
        <v>3.2807500000000003E-2</v>
      </c>
      <c r="B30">
        <v>3.2239299999999999E-2</v>
      </c>
      <c r="C30">
        <v>3.2150900000000003E-2</v>
      </c>
      <c r="D30">
        <v>3.2911799999999998E-2</v>
      </c>
      <c r="E30">
        <v>3.1891799999999998E-2</v>
      </c>
      <c r="F30">
        <v>3.2484600000000002E-2</v>
      </c>
      <c r="G30">
        <v>3.3216299999999997E-2</v>
      </c>
      <c r="H30">
        <v>3.2892900000000003E-2</v>
      </c>
      <c r="I30">
        <v>3.4389000000000003E-2</v>
      </c>
      <c r="J30">
        <v>3.7534900000000003E-2</v>
      </c>
      <c r="K30">
        <v>4.5901699999999997E-2</v>
      </c>
      <c r="L30">
        <v>6.2336000000000003E-2</v>
      </c>
      <c r="M30">
        <v>9.7473699999999996E-2</v>
      </c>
      <c r="N30">
        <v>0.165658</v>
      </c>
      <c r="O30">
        <v>0.30832300000000001</v>
      </c>
      <c r="P30">
        <v>0.58894999999999997</v>
      </c>
      <c r="Q30">
        <v>2.4853699999999999E-2</v>
      </c>
      <c r="R30">
        <v>2.5021700000000001E-2</v>
      </c>
      <c r="S30">
        <v>2.4771100000000001E-2</v>
      </c>
      <c r="T30">
        <v>2.41999E-2</v>
      </c>
      <c r="U30">
        <v>2.4570499999999999E-2</v>
      </c>
      <c r="V30">
        <v>2.5003500000000001E-2</v>
      </c>
      <c r="W30">
        <v>2.48706E-2</v>
      </c>
      <c r="X30">
        <v>2.5483599999999999E-2</v>
      </c>
      <c r="Y30">
        <v>2.6575399999999999E-2</v>
      </c>
      <c r="Z30">
        <v>3.1388800000000001E-2</v>
      </c>
      <c r="AA30">
        <v>4.15798E-2</v>
      </c>
      <c r="AB30">
        <v>6.3227800000000001E-2</v>
      </c>
      <c r="AC30">
        <v>0.105354</v>
      </c>
      <c r="AD30">
        <v>0.193302</v>
      </c>
      <c r="AE30">
        <v>0.365983</v>
      </c>
      <c r="AF30">
        <v>0.71269300000000002</v>
      </c>
    </row>
    <row r="31" spans="1:32" x14ac:dyDescent="0.25">
      <c r="A31">
        <v>3.2799300000000003E-2</v>
      </c>
      <c r="B31">
        <v>3.1859699999999998E-2</v>
      </c>
      <c r="C31">
        <v>3.2108100000000001E-2</v>
      </c>
      <c r="D31">
        <v>3.3023900000000002E-2</v>
      </c>
      <c r="E31">
        <v>3.2027800000000002E-2</v>
      </c>
      <c r="F31">
        <v>3.2763300000000002E-2</v>
      </c>
      <c r="G31">
        <v>3.3053800000000001E-2</v>
      </c>
      <c r="H31">
        <v>3.2659500000000001E-2</v>
      </c>
      <c r="I31">
        <v>3.4142100000000002E-2</v>
      </c>
      <c r="J31">
        <v>3.6971299999999999E-2</v>
      </c>
      <c r="K31">
        <v>4.59245E-2</v>
      </c>
      <c r="L31">
        <v>6.1833899999999997E-2</v>
      </c>
      <c r="M31">
        <v>9.7324900000000006E-2</v>
      </c>
      <c r="N31">
        <v>0.166381</v>
      </c>
      <c r="O31">
        <v>0.30787500000000001</v>
      </c>
      <c r="P31">
        <v>0.58852000000000004</v>
      </c>
      <c r="Q31">
        <v>2.4476399999999999E-2</v>
      </c>
      <c r="R31">
        <v>2.4777500000000001E-2</v>
      </c>
      <c r="S31">
        <v>2.4676400000000001E-2</v>
      </c>
      <c r="T31">
        <v>2.4972100000000001E-2</v>
      </c>
      <c r="U31">
        <v>2.4512099999999998E-2</v>
      </c>
      <c r="V31">
        <v>2.47011E-2</v>
      </c>
      <c r="W31">
        <v>2.49097E-2</v>
      </c>
      <c r="X31">
        <v>2.51393E-2</v>
      </c>
      <c r="Y31">
        <v>2.68498E-2</v>
      </c>
      <c r="Z31">
        <v>3.1246900000000001E-2</v>
      </c>
      <c r="AA31">
        <v>4.1327700000000002E-2</v>
      </c>
      <c r="AB31">
        <v>6.2771099999999996E-2</v>
      </c>
      <c r="AC31">
        <v>0.105473</v>
      </c>
      <c r="AD31">
        <v>0.19302800000000001</v>
      </c>
      <c r="AE31">
        <v>0.36601099999999998</v>
      </c>
      <c r="AF31">
        <v>0.71269700000000002</v>
      </c>
    </row>
    <row r="32" spans="1:32" x14ac:dyDescent="0.25">
      <c r="A32">
        <v>3.2856700000000003E-2</v>
      </c>
      <c r="B32">
        <v>3.2410799999999997E-2</v>
      </c>
      <c r="C32">
        <v>3.2659399999999998E-2</v>
      </c>
      <c r="D32">
        <v>3.3055599999999997E-2</v>
      </c>
      <c r="E32">
        <v>3.2413600000000001E-2</v>
      </c>
      <c r="F32">
        <v>3.3139299999999997E-2</v>
      </c>
      <c r="G32">
        <v>3.2917000000000002E-2</v>
      </c>
      <c r="H32">
        <v>3.3171300000000001E-2</v>
      </c>
      <c r="I32">
        <v>3.5287800000000001E-2</v>
      </c>
      <c r="J32">
        <v>3.7151200000000002E-2</v>
      </c>
      <c r="K32">
        <v>4.5549300000000001E-2</v>
      </c>
      <c r="L32">
        <v>6.2450699999999998E-2</v>
      </c>
      <c r="M32">
        <v>9.78821E-2</v>
      </c>
      <c r="N32">
        <v>0.16579199999999999</v>
      </c>
      <c r="O32">
        <v>0.30824600000000002</v>
      </c>
      <c r="P32">
        <v>0.588727</v>
      </c>
      <c r="Q32">
        <v>2.4758800000000001E-2</v>
      </c>
      <c r="R32">
        <v>2.48285E-2</v>
      </c>
      <c r="S32">
        <v>2.48179E-2</v>
      </c>
      <c r="T32">
        <v>2.46077E-2</v>
      </c>
      <c r="U32">
        <v>2.4762800000000001E-2</v>
      </c>
      <c r="V32">
        <v>2.50715E-2</v>
      </c>
      <c r="W32">
        <v>2.4749799999999999E-2</v>
      </c>
      <c r="X32">
        <v>2.5171300000000001E-2</v>
      </c>
      <c r="Y32">
        <v>2.6657500000000001E-2</v>
      </c>
      <c r="Z32">
        <v>3.1513300000000001E-2</v>
      </c>
      <c r="AA32">
        <v>4.1717499999999998E-2</v>
      </c>
      <c r="AB32">
        <v>6.2728099999999995E-2</v>
      </c>
      <c r="AC32">
        <v>0.105479</v>
      </c>
      <c r="AD32">
        <v>0.19301399999999999</v>
      </c>
      <c r="AE32">
        <v>0.36615900000000001</v>
      </c>
      <c r="AF32">
        <v>0.71268399999999998</v>
      </c>
    </row>
    <row r="33" spans="1:32" x14ac:dyDescent="0.25">
      <c r="A33">
        <v>3.3262800000000002E-2</v>
      </c>
      <c r="B33">
        <v>3.2390799999999997E-2</v>
      </c>
      <c r="C33">
        <v>3.2605599999999998E-2</v>
      </c>
      <c r="D33">
        <v>3.29903E-2</v>
      </c>
      <c r="E33">
        <v>3.3080100000000001E-2</v>
      </c>
      <c r="F33">
        <v>3.2377200000000002E-2</v>
      </c>
      <c r="G33">
        <v>3.3478399999999998E-2</v>
      </c>
      <c r="H33">
        <v>3.3846099999999997E-2</v>
      </c>
      <c r="I33">
        <v>3.3699899999999998E-2</v>
      </c>
      <c r="J33">
        <v>3.92693E-2</v>
      </c>
      <c r="K33">
        <v>4.5752099999999997E-2</v>
      </c>
      <c r="L33">
        <v>6.2017900000000001E-2</v>
      </c>
      <c r="M33">
        <v>9.6666000000000002E-2</v>
      </c>
      <c r="N33">
        <v>0.16617799999999999</v>
      </c>
      <c r="O33">
        <v>0.30827900000000003</v>
      </c>
      <c r="P33">
        <v>0.58916199999999996</v>
      </c>
      <c r="Q33">
        <v>2.4785100000000001E-2</v>
      </c>
      <c r="R33">
        <v>2.4811799999999998E-2</v>
      </c>
      <c r="S33">
        <v>2.44832E-2</v>
      </c>
      <c r="T33">
        <v>2.4628899999999999E-2</v>
      </c>
      <c r="U33">
        <v>2.4970800000000001E-2</v>
      </c>
      <c r="V33">
        <v>2.4770799999999999E-2</v>
      </c>
      <c r="W33">
        <v>2.4790400000000001E-2</v>
      </c>
      <c r="X33">
        <v>2.5290300000000002E-2</v>
      </c>
      <c r="Y33">
        <v>2.66331E-2</v>
      </c>
      <c r="Z33">
        <v>3.15E-2</v>
      </c>
      <c r="AA33">
        <v>4.1849200000000003E-2</v>
      </c>
      <c r="AB33">
        <v>6.23393E-2</v>
      </c>
      <c r="AC33">
        <v>0.105337</v>
      </c>
      <c r="AD33">
        <v>0.19340499999999999</v>
      </c>
      <c r="AE33">
        <v>0.36637700000000001</v>
      </c>
      <c r="AF33">
        <v>0.71247499999999997</v>
      </c>
    </row>
    <row r="34" spans="1:32" x14ac:dyDescent="0.25">
      <c r="A34">
        <v>3.4804099999999998E-2</v>
      </c>
      <c r="B34">
        <v>3.1987000000000002E-2</v>
      </c>
      <c r="C34">
        <v>3.2856900000000001E-2</v>
      </c>
      <c r="D34">
        <v>3.2403399999999999E-2</v>
      </c>
      <c r="E34">
        <v>3.32818E-2</v>
      </c>
      <c r="F34">
        <v>3.3333099999999997E-2</v>
      </c>
      <c r="G34">
        <v>3.2971199999999999E-2</v>
      </c>
      <c r="H34">
        <v>3.2719100000000001E-2</v>
      </c>
      <c r="I34">
        <v>3.3933100000000001E-2</v>
      </c>
      <c r="J34">
        <v>3.6995100000000003E-2</v>
      </c>
      <c r="K34">
        <v>4.6588299999999999E-2</v>
      </c>
      <c r="L34">
        <v>6.2367800000000001E-2</v>
      </c>
      <c r="M34">
        <v>9.7140099999999993E-2</v>
      </c>
      <c r="N34">
        <v>0.166183</v>
      </c>
      <c r="O34">
        <v>0.30831999999999998</v>
      </c>
      <c r="P34">
        <v>0.588306</v>
      </c>
      <c r="Q34">
        <v>2.4763899999999998E-2</v>
      </c>
      <c r="R34">
        <v>2.51422E-2</v>
      </c>
      <c r="S34">
        <v>2.47438E-2</v>
      </c>
      <c r="T34">
        <v>2.4525399999999999E-2</v>
      </c>
      <c r="U34">
        <v>2.51586E-2</v>
      </c>
      <c r="V34">
        <v>2.5069399999999999E-2</v>
      </c>
      <c r="W34">
        <v>2.4744599999999999E-2</v>
      </c>
      <c r="X34">
        <v>2.52648E-2</v>
      </c>
      <c r="Y34">
        <v>2.6611300000000001E-2</v>
      </c>
      <c r="Z34">
        <v>3.1406099999999999E-2</v>
      </c>
      <c r="AA34">
        <v>4.1381099999999997E-2</v>
      </c>
      <c r="AB34">
        <v>6.2878199999999995E-2</v>
      </c>
      <c r="AC34">
        <v>0.105516</v>
      </c>
      <c r="AD34">
        <v>0.19278699999999999</v>
      </c>
      <c r="AE34">
        <v>0.36591299999999999</v>
      </c>
      <c r="AF34">
        <v>0.71250800000000003</v>
      </c>
    </row>
    <row r="35" spans="1:32" x14ac:dyDescent="0.25">
      <c r="A35">
        <v>3.2734199999999998E-2</v>
      </c>
      <c r="B35">
        <v>3.3063200000000001E-2</v>
      </c>
      <c r="C35">
        <v>3.24278E-2</v>
      </c>
      <c r="D35">
        <v>3.2450300000000001E-2</v>
      </c>
      <c r="E35">
        <v>3.2903700000000001E-2</v>
      </c>
      <c r="F35">
        <v>3.2870999999999997E-2</v>
      </c>
      <c r="G35">
        <v>3.3427800000000001E-2</v>
      </c>
      <c r="H35">
        <v>3.2967900000000001E-2</v>
      </c>
      <c r="I35">
        <v>3.3833000000000002E-2</v>
      </c>
      <c r="J35">
        <v>3.7485299999999999E-2</v>
      </c>
      <c r="K35">
        <v>4.6046900000000002E-2</v>
      </c>
      <c r="L35">
        <v>6.3033000000000006E-2</v>
      </c>
      <c r="M35">
        <v>9.7664799999999996E-2</v>
      </c>
      <c r="N35">
        <v>0.16556599999999999</v>
      </c>
      <c r="O35">
        <v>0.30801699999999999</v>
      </c>
      <c r="P35">
        <v>0.58826900000000004</v>
      </c>
      <c r="Q35">
        <v>2.4647200000000001E-2</v>
      </c>
      <c r="R35">
        <v>2.46304E-2</v>
      </c>
      <c r="S35">
        <v>2.4965500000000002E-2</v>
      </c>
      <c r="T35">
        <v>2.47128E-2</v>
      </c>
      <c r="U35">
        <v>2.44722E-2</v>
      </c>
      <c r="V35">
        <v>2.4906000000000001E-2</v>
      </c>
      <c r="W35">
        <v>2.4981300000000001E-2</v>
      </c>
      <c r="X35">
        <v>2.5394799999999999E-2</v>
      </c>
      <c r="Y35">
        <v>2.67698E-2</v>
      </c>
      <c r="Z35">
        <v>3.1736399999999998E-2</v>
      </c>
      <c r="AA35">
        <v>4.1581100000000003E-2</v>
      </c>
      <c r="AB35">
        <v>6.2737799999999996E-2</v>
      </c>
      <c r="AC35">
        <v>0.105507</v>
      </c>
      <c r="AD35">
        <v>0.19286</v>
      </c>
      <c r="AE35">
        <v>0.36604999999999999</v>
      </c>
      <c r="AF35">
        <v>0.71250899999999995</v>
      </c>
    </row>
    <row r="36" spans="1:32" x14ac:dyDescent="0.25">
      <c r="A36">
        <v>3.2531200000000003E-2</v>
      </c>
      <c r="B36">
        <v>3.2852399999999997E-2</v>
      </c>
      <c r="C36">
        <v>3.31807E-2</v>
      </c>
      <c r="D36">
        <v>3.2394800000000001E-2</v>
      </c>
      <c r="E36">
        <v>3.2346100000000003E-2</v>
      </c>
      <c r="F36">
        <v>3.22799E-2</v>
      </c>
      <c r="G36">
        <v>3.2553899999999997E-2</v>
      </c>
      <c r="H36">
        <v>3.3065400000000002E-2</v>
      </c>
      <c r="I36">
        <v>3.3513300000000003E-2</v>
      </c>
      <c r="J36">
        <v>3.7993100000000002E-2</v>
      </c>
      <c r="K36">
        <v>4.6330700000000002E-2</v>
      </c>
      <c r="L36">
        <v>6.2621300000000005E-2</v>
      </c>
      <c r="M36">
        <v>9.6520599999999998E-2</v>
      </c>
      <c r="N36">
        <v>0.16703000000000001</v>
      </c>
      <c r="O36">
        <v>0.308448</v>
      </c>
      <c r="P36">
        <v>0.58863299999999996</v>
      </c>
      <c r="Q36">
        <v>2.48139E-2</v>
      </c>
      <c r="R36">
        <v>2.4967099999999999E-2</v>
      </c>
      <c r="S36">
        <v>2.4513500000000001E-2</v>
      </c>
      <c r="T36">
        <v>2.4902000000000001E-2</v>
      </c>
      <c r="U36">
        <v>2.50423E-2</v>
      </c>
      <c r="V36">
        <v>2.47385E-2</v>
      </c>
      <c r="W36">
        <v>2.5025800000000001E-2</v>
      </c>
      <c r="X36">
        <v>2.52141E-2</v>
      </c>
      <c r="Y36">
        <v>2.6727000000000001E-2</v>
      </c>
      <c r="Z36">
        <v>3.1698499999999998E-2</v>
      </c>
      <c r="AA36">
        <v>4.18527E-2</v>
      </c>
      <c r="AB36">
        <v>6.2752100000000005E-2</v>
      </c>
      <c r="AC36">
        <v>0.105216</v>
      </c>
      <c r="AD36">
        <v>0.19331999999999999</v>
      </c>
      <c r="AE36">
        <v>0.36606300000000003</v>
      </c>
      <c r="AF36">
        <v>0.71267899999999995</v>
      </c>
    </row>
    <row r="37" spans="1:32" x14ac:dyDescent="0.25">
      <c r="A37">
        <v>3.3210799999999999E-2</v>
      </c>
      <c r="B37">
        <v>3.2297800000000002E-2</v>
      </c>
      <c r="C37">
        <v>3.3378600000000001E-2</v>
      </c>
      <c r="D37">
        <v>3.2664800000000001E-2</v>
      </c>
      <c r="E37">
        <v>3.23337E-2</v>
      </c>
      <c r="F37">
        <v>3.2864699999999997E-2</v>
      </c>
      <c r="G37">
        <v>3.2691699999999997E-2</v>
      </c>
      <c r="H37">
        <v>3.3126900000000001E-2</v>
      </c>
      <c r="I37">
        <v>3.3613900000000002E-2</v>
      </c>
      <c r="J37">
        <v>3.8093000000000002E-2</v>
      </c>
      <c r="K37">
        <v>4.5250100000000001E-2</v>
      </c>
      <c r="L37">
        <v>6.3276600000000002E-2</v>
      </c>
      <c r="M37">
        <v>9.7098799999999999E-2</v>
      </c>
      <c r="N37">
        <v>0.166099</v>
      </c>
      <c r="O37">
        <v>0.30799500000000002</v>
      </c>
      <c r="P37">
        <v>0.58871799999999996</v>
      </c>
      <c r="Q37">
        <v>2.4596699999999999E-2</v>
      </c>
      <c r="R37">
        <v>2.45644E-2</v>
      </c>
      <c r="S37">
        <v>2.4691399999999999E-2</v>
      </c>
      <c r="T37">
        <v>2.4658900000000001E-2</v>
      </c>
      <c r="U37">
        <v>2.46E-2</v>
      </c>
      <c r="V37">
        <v>2.4667399999999999E-2</v>
      </c>
      <c r="W37">
        <v>2.4850799999999999E-2</v>
      </c>
      <c r="X37">
        <v>2.5364100000000001E-2</v>
      </c>
      <c r="Y37">
        <v>2.6576200000000001E-2</v>
      </c>
      <c r="Z37">
        <v>3.14819E-2</v>
      </c>
      <c r="AA37">
        <v>4.16896E-2</v>
      </c>
      <c r="AB37">
        <v>6.2808199999999995E-2</v>
      </c>
      <c r="AC37">
        <v>0.105439</v>
      </c>
      <c r="AD37">
        <v>0.19347900000000001</v>
      </c>
      <c r="AE37">
        <v>0.36614099999999999</v>
      </c>
      <c r="AF37">
        <v>0.71241200000000005</v>
      </c>
    </row>
    <row r="38" spans="1:32" x14ac:dyDescent="0.25">
      <c r="A38">
        <v>3.3395899999999999E-2</v>
      </c>
      <c r="B38">
        <v>3.2030900000000001E-2</v>
      </c>
      <c r="C38">
        <v>3.2889099999999998E-2</v>
      </c>
      <c r="D38">
        <v>3.2562199999999999E-2</v>
      </c>
      <c r="E38">
        <v>3.2929E-2</v>
      </c>
      <c r="F38">
        <v>3.3160000000000002E-2</v>
      </c>
      <c r="G38">
        <v>3.2401699999999999E-2</v>
      </c>
      <c r="H38">
        <v>3.2993399999999999E-2</v>
      </c>
      <c r="I38">
        <v>3.3319500000000002E-2</v>
      </c>
      <c r="J38">
        <v>3.7235900000000002E-2</v>
      </c>
      <c r="K38">
        <v>4.5483900000000001E-2</v>
      </c>
      <c r="L38">
        <v>6.2138800000000001E-2</v>
      </c>
      <c r="M38">
        <v>9.7676200000000005E-2</v>
      </c>
      <c r="N38">
        <v>0.166043</v>
      </c>
      <c r="O38">
        <v>0.30830299999999999</v>
      </c>
      <c r="P38">
        <v>0.58883399999999997</v>
      </c>
      <c r="Q38">
        <v>2.4677600000000001E-2</v>
      </c>
      <c r="R38">
        <v>2.4627599999999999E-2</v>
      </c>
      <c r="S38">
        <v>2.4565099999999999E-2</v>
      </c>
      <c r="T38">
        <v>2.46708E-2</v>
      </c>
      <c r="U38">
        <v>2.4495900000000001E-2</v>
      </c>
      <c r="V38">
        <v>2.4578699999999998E-2</v>
      </c>
      <c r="W38">
        <v>2.5249600000000001E-2</v>
      </c>
      <c r="X38">
        <v>2.5628999999999999E-2</v>
      </c>
      <c r="Y38">
        <v>2.6827799999999999E-2</v>
      </c>
      <c r="Z38">
        <v>3.1961299999999998E-2</v>
      </c>
      <c r="AA38">
        <v>4.1660999999999997E-2</v>
      </c>
      <c r="AB38">
        <v>6.2747499999999998E-2</v>
      </c>
      <c r="AC38">
        <v>0.105326</v>
      </c>
      <c r="AD38">
        <v>0.19339500000000001</v>
      </c>
      <c r="AE38">
        <v>0.366151</v>
      </c>
      <c r="AF38">
        <v>0.71269400000000005</v>
      </c>
    </row>
    <row r="39" spans="1:32" x14ac:dyDescent="0.25">
      <c r="A39">
        <v>3.3678399999999997E-2</v>
      </c>
      <c r="B39">
        <v>3.2140599999999998E-2</v>
      </c>
      <c r="C39">
        <v>3.2643699999999998E-2</v>
      </c>
      <c r="D39">
        <v>3.2508200000000001E-2</v>
      </c>
      <c r="E39">
        <v>3.2482900000000002E-2</v>
      </c>
      <c r="F39">
        <v>3.23757E-2</v>
      </c>
      <c r="G39">
        <v>3.2792799999999997E-2</v>
      </c>
      <c r="H39">
        <v>3.2995900000000002E-2</v>
      </c>
      <c r="I39">
        <v>3.3887899999999999E-2</v>
      </c>
      <c r="J39">
        <v>3.6939199999999998E-2</v>
      </c>
      <c r="K39">
        <v>4.5627500000000001E-2</v>
      </c>
      <c r="L39">
        <v>6.1962900000000001E-2</v>
      </c>
      <c r="M39">
        <v>9.6989099999999995E-2</v>
      </c>
      <c r="N39">
        <v>0.16625599999999999</v>
      </c>
      <c r="O39">
        <v>0.30815100000000001</v>
      </c>
      <c r="P39">
        <v>0.58890799999999999</v>
      </c>
      <c r="Q39">
        <v>2.4829400000000001E-2</v>
      </c>
      <c r="R39">
        <v>2.5034600000000001E-2</v>
      </c>
      <c r="S39">
        <v>2.4823700000000001E-2</v>
      </c>
      <c r="T39">
        <v>2.47111E-2</v>
      </c>
      <c r="U39">
        <v>2.4747700000000001E-2</v>
      </c>
      <c r="V39">
        <v>2.4686400000000001E-2</v>
      </c>
      <c r="W39">
        <v>2.5215999999999999E-2</v>
      </c>
      <c r="X39">
        <v>2.5025700000000001E-2</v>
      </c>
      <c r="Y39">
        <v>2.6733099999999999E-2</v>
      </c>
      <c r="Z39">
        <v>3.1641200000000001E-2</v>
      </c>
      <c r="AA39">
        <v>4.1511899999999997E-2</v>
      </c>
      <c r="AB39">
        <v>6.2733800000000006E-2</v>
      </c>
      <c r="AC39">
        <v>0.105326</v>
      </c>
      <c r="AD39">
        <v>0.19336700000000001</v>
      </c>
      <c r="AE39">
        <v>0.36624000000000001</v>
      </c>
      <c r="AF39">
        <v>0.71260900000000005</v>
      </c>
    </row>
    <row r="40" spans="1:32" x14ac:dyDescent="0.25">
      <c r="A40">
        <v>3.2881800000000003E-2</v>
      </c>
      <c r="B40">
        <v>3.2032600000000001E-2</v>
      </c>
      <c r="C40">
        <v>3.3409300000000003E-2</v>
      </c>
      <c r="D40">
        <v>3.2403500000000002E-2</v>
      </c>
      <c r="E40">
        <v>3.2817499999999999E-2</v>
      </c>
      <c r="F40">
        <v>3.2383599999999998E-2</v>
      </c>
      <c r="G40">
        <v>3.2629699999999998E-2</v>
      </c>
      <c r="H40">
        <v>3.2463600000000002E-2</v>
      </c>
      <c r="I40">
        <v>3.36469E-2</v>
      </c>
      <c r="J40">
        <v>3.7398099999999997E-2</v>
      </c>
      <c r="K40">
        <v>4.6180800000000001E-2</v>
      </c>
      <c r="L40">
        <v>6.2061499999999999E-2</v>
      </c>
      <c r="M40">
        <v>9.6815399999999996E-2</v>
      </c>
      <c r="N40">
        <v>0.16580700000000001</v>
      </c>
      <c r="O40">
        <v>0.30818899999999999</v>
      </c>
      <c r="P40">
        <v>0.58870999999999996</v>
      </c>
      <c r="Q40">
        <v>2.45375E-2</v>
      </c>
      <c r="R40">
        <v>2.4605200000000001E-2</v>
      </c>
      <c r="S40">
        <v>2.4853699999999999E-2</v>
      </c>
      <c r="T40">
        <v>2.5089299999999998E-2</v>
      </c>
      <c r="U40">
        <v>2.4721300000000002E-2</v>
      </c>
      <c r="V40">
        <v>2.4965299999999999E-2</v>
      </c>
      <c r="W40">
        <v>2.4799399999999999E-2</v>
      </c>
      <c r="X40">
        <v>2.5162799999999999E-2</v>
      </c>
      <c r="Y40">
        <v>2.68842E-2</v>
      </c>
      <c r="Z40">
        <v>3.1478899999999997E-2</v>
      </c>
      <c r="AA40">
        <v>4.1762300000000002E-2</v>
      </c>
      <c r="AB40">
        <v>6.2663099999999999E-2</v>
      </c>
      <c r="AC40">
        <v>0.105431</v>
      </c>
      <c r="AD40">
        <v>0.19312000000000001</v>
      </c>
      <c r="AE40">
        <v>0.36613800000000002</v>
      </c>
      <c r="AF40">
        <v>0.71259300000000003</v>
      </c>
    </row>
    <row r="41" spans="1:32" x14ac:dyDescent="0.25">
      <c r="A41">
        <v>3.4876200000000003E-2</v>
      </c>
      <c r="B41">
        <v>3.2263100000000003E-2</v>
      </c>
      <c r="C41">
        <v>3.2761100000000001E-2</v>
      </c>
      <c r="D41">
        <v>3.2527899999999998E-2</v>
      </c>
      <c r="E41">
        <v>3.3902099999999998E-2</v>
      </c>
      <c r="F41">
        <v>3.3065200000000003E-2</v>
      </c>
      <c r="G41">
        <v>3.30984E-2</v>
      </c>
      <c r="H41">
        <v>3.3265500000000003E-2</v>
      </c>
      <c r="I41">
        <v>3.3997600000000003E-2</v>
      </c>
      <c r="J41">
        <v>3.6854499999999998E-2</v>
      </c>
      <c r="K41">
        <v>4.6556199999999999E-2</v>
      </c>
      <c r="L41">
        <v>6.2180800000000001E-2</v>
      </c>
      <c r="M41">
        <v>9.6922400000000006E-2</v>
      </c>
      <c r="N41">
        <v>0.16619200000000001</v>
      </c>
      <c r="O41">
        <v>0.30787399999999998</v>
      </c>
      <c r="P41">
        <v>0.58809800000000001</v>
      </c>
      <c r="Q41">
        <v>2.4671800000000001E-2</v>
      </c>
      <c r="R41">
        <v>2.48752E-2</v>
      </c>
      <c r="S41">
        <v>2.4865499999999999E-2</v>
      </c>
      <c r="T41">
        <v>2.48139E-2</v>
      </c>
      <c r="U41">
        <v>2.5027500000000001E-2</v>
      </c>
      <c r="V41">
        <v>2.48828E-2</v>
      </c>
      <c r="W41">
        <v>2.4820499999999999E-2</v>
      </c>
      <c r="X41">
        <v>2.5021600000000001E-2</v>
      </c>
      <c r="Y41">
        <v>2.66967E-2</v>
      </c>
      <c r="Z41">
        <v>3.0941400000000001E-2</v>
      </c>
      <c r="AA41">
        <v>4.1626000000000003E-2</v>
      </c>
      <c r="AB41">
        <v>6.2738000000000002E-2</v>
      </c>
      <c r="AC41">
        <v>0.105602</v>
      </c>
      <c r="AD41">
        <v>0.19339700000000001</v>
      </c>
      <c r="AE41">
        <v>0.366033</v>
      </c>
      <c r="AF41">
        <v>0.71250500000000005</v>
      </c>
    </row>
    <row r="42" spans="1:32" x14ac:dyDescent="0.25">
      <c r="A42">
        <v>3.2568600000000003E-2</v>
      </c>
      <c r="B42">
        <v>3.29343E-2</v>
      </c>
      <c r="C42">
        <v>3.2677400000000002E-2</v>
      </c>
      <c r="D42">
        <v>3.2295600000000001E-2</v>
      </c>
      <c r="E42">
        <v>3.2164600000000002E-2</v>
      </c>
      <c r="F42">
        <v>3.2545699999999997E-2</v>
      </c>
      <c r="G42">
        <v>3.3336600000000001E-2</v>
      </c>
      <c r="H42">
        <v>3.2715500000000002E-2</v>
      </c>
      <c r="I42">
        <v>3.3732900000000003E-2</v>
      </c>
      <c r="J42">
        <v>3.6991000000000003E-2</v>
      </c>
      <c r="K42">
        <v>4.5459800000000002E-2</v>
      </c>
      <c r="L42">
        <v>6.2598500000000001E-2</v>
      </c>
      <c r="M42">
        <v>9.7540000000000002E-2</v>
      </c>
      <c r="N42">
        <v>0.16595499999999999</v>
      </c>
      <c r="O42">
        <v>0.30834499999999998</v>
      </c>
      <c r="P42">
        <v>0.58873799999999998</v>
      </c>
      <c r="Q42">
        <v>2.5092E-2</v>
      </c>
      <c r="R42">
        <v>2.5068199999999999E-2</v>
      </c>
      <c r="S42">
        <v>2.5108499999999999E-2</v>
      </c>
      <c r="T42">
        <v>2.4722600000000001E-2</v>
      </c>
      <c r="U42">
        <v>2.45756E-2</v>
      </c>
      <c r="V42">
        <v>2.5093500000000001E-2</v>
      </c>
      <c r="W42">
        <v>2.4612200000000001E-2</v>
      </c>
      <c r="X42">
        <v>2.5133599999999999E-2</v>
      </c>
      <c r="Y42">
        <v>2.6761199999999999E-2</v>
      </c>
      <c r="Z42">
        <v>3.1376599999999998E-2</v>
      </c>
      <c r="AA42">
        <v>4.1408599999999997E-2</v>
      </c>
      <c r="AB42">
        <v>6.2772499999999995E-2</v>
      </c>
      <c r="AC42">
        <v>0.105223</v>
      </c>
      <c r="AD42">
        <v>0.19303400000000001</v>
      </c>
      <c r="AE42">
        <v>0.36629400000000001</v>
      </c>
      <c r="AF42">
        <v>0.712476</v>
      </c>
    </row>
    <row r="43" spans="1:32" x14ac:dyDescent="0.25">
      <c r="A43">
        <v>3.3275800000000001E-2</v>
      </c>
      <c r="B43">
        <v>3.5080500000000001E-2</v>
      </c>
      <c r="C43">
        <v>3.24792E-2</v>
      </c>
      <c r="D43">
        <v>3.2937000000000001E-2</v>
      </c>
      <c r="E43">
        <v>3.2093299999999998E-2</v>
      </c>
      <c r="F43">
        <v>3.2825100000000003E-2</v>
      </c>
      <c r="G43">
        <v>3.2676299999999998E-2</v>
      </c>
      <c r="H43">
        <v>3.2314000000000002E-2</v>
      </c>
      <c r="I43">
        <v>3.3429300000000002E-2</v>
      </c>
      <c r="J43">
        <v>3.7518299999999997E-2</v>
      </c>
      <c r="K43">
        <v>4.6129799999999999E-2</v>
      </c>
      <c r="L43">
        <v>6.2344200000000002E-2</v>
      </c>
      <c r="M43">
        <v>9.6803600000000004E-2</v>
      </c>
      <c r="N43">
        <v>0.165656</v>
      </c>
      <c r="O43">
        <v>0.30898900000000001</v>
      </c>
      <c r="P43">
        <v>0.58838000000000001</v>
      </c>
      <c r="Q43">
        <v>2.4477700000000002E-2</v>
      </c>
      <c r="R43">
        <v>2.4484700000000002E-2</v>
      </c>
      <c r="S43">
        <v>2.4749199999999999E-2</v>
      </c>
      <c r="T43">
        <v>2.5142500000000002E-2</v>
      </c>
      <c r="U43">
        <v>2.4834800000000001E-2</v>
      </c>
      <c r="V43">
        <v>2.46982E-2</v>
      </c>
      <c r="W43">
        <v>2.51913E-2</v>
      </c>
      <c r="X43">
        <v>2.52666E-2</v>
      </c>
      <c r="Y43">
        <v>2.69684E-2</v>
      </c>
      <c r="Z43">
        <v>3.1274200000000002E-2</v>
      </c>
      <c r="AA43">
        <v>4.1795199999999998E-2</v>
      </c>
      <c r="AB43">
        <v>6.2703400000000006E-2</v>
      </c>
      <c r="AC43">
        <v>0.10528999999999999</v>
      </c>
      <c r="AD43">
        <v>0.19341900000000001</v>
      </c>
      <c r="AE43">
        <v>0.36613600000000002</v>
      </c>
      <c r="AF43">
        <v>0.71248100000000003</v>
      </c>
    </row>
    <row r="44" spans="1:32" x14ac:dyDescent="0.25">
      <c r="A44">
        <v>3.2374100000000003E-2</v>
      </c>
      <c r="B44">
        <v>3.3334599999999999E-2</v>
      </c>
      <c r="C44">
        <v>3.36954E-2</v>
      </c>
      <c r="D44">
        <v>3.2143699999999997E-2</v>
      </c>
      <c r="E44">
        <v>3.2859800000000002E-2</v>
      </c>
      <c r="F44">
        <v>3.2880100000000002E-2</v>
      </c>
      <c r="G44">
        <v>3.26802E-2</v>
      </c>
      <c r="H44">
        <v>3.2471300000000002E-2</v>
      </c>
      <c r="I44">
        <v>3.34331E-2</v>
      </c>
      <c r="J44">
        <v>3.7574000000000003E-2</v>
      </c>
      <c r="K44">
        <v>4.5617400000000002E-2</v>
      </c>
      <c r="L44">
        <v>6.2407900000000002E-2</v>
      </c>
      <c r="M44">
        <v>9.7046599999999997E-2</v>
      </c>
      <c r="N44">
        <v>0.16599900000000001</v>
      </c>
      <c r="O44">
        <v>0.308894</v>
      </c>
      <c r="P44">
        <v>0.588642</v>
      </c>
      <c r="Q44">
        <v>2.47532E-2</v>
      </c>
      <c r="R44">
        <v>2.47414E-2</v>
      </c>
      <c r="S44">
        <v>2.4828200000000002E-2</v>
      </c>
      <c r="T44">
        <v>2.4670999999999998E-2</v>
      </c>
      <c r="U44">
        <v>2.44598E-2</v>
      </c>
      <c r="V44">
        <v>2.4729000000000001E-2</v>
      </c>
      <c r="W44">
        <v>2.47438E-2</v>
      </c>
      <c r="X44">
        <v>2.5395399999999999E-2</v>
      </c>
      <c r="Y44">
        <v>2.6678500000000001E-2</v>
      </c>
      <c r="Z44">
        <v>3.1230000000000001E-2</v>
      </c>
      <c r="AA44">
        <v>4.16382E-2</v>
      </c>
      <c r="AB44">
        <v>6.2684100000000006E-2</v>
      </c>
      <c r="AC44">
        <v>0.105418</v>
      </c>
      <c r="AD44">
        <v>0.193026</v>
      </c>
      <c r="AE44">
        <v>0.36586299999999999</v>
      </c>
      <c r="AF44">
        <v>0.71249200000000001</v>
      </c>
    </row>
    <row r="45" spans="1:32" x14ac:dyDescent="0.25">
      <c r="A45">
        <v>3.2376500000000002E-2</v>
      </c>
      <c r="B45">
        <v>3.2759299999999998E-2</v>
      </c>
      <c r="C45">
        <v>3.2331600000000002E-2</v>
      </c>
      <c r="D45">
        <v>3.2705499999999998E-2</v>
      </c>
      <c r="E45">
        <v>3.2442199999999997E-2</v>
      </c>
      <c r="F45">
        <v>3.2474799999999998E-2</v>
      </c>
      <c r="G45">
        <v>3.2698999999999999E-2</v>
      </c>
      <c r="H45">
        <v>3.32415E-2</v>
      </c>
      <c r="I45">
        <v>3.33865E-2</v>
      </c>
      <c r="J45">
        <v>3.7068499999999997E-2</v>
      </c>
      <c r="K45">
        <v>4.6525799999999999E-2</v>
      </c>
      <c r="L45">
        <v>6.3118900000000006E-2</v>
      </c>
      <c r="M45">
        <v>9.6890000000000004E-2</v>
      </c>
      <c r="N45">
        <v>0.16605900000000001</v>
      </c>
      <c r="O45">
        <v>0.30799799999999999</v>
      </c>
      <c r="P45">
        <v>0.58891899999999997</v>
      </c>
      <c r="Q45">
        <v>2.4794699999999999E-2</v>
      </c>
      <c r="R45">
        <v>2.5005800000000002E-2</v>
      </c>
      <c r="S45">
        <v>2.4601499999999998E-2</v>
      </c>
      <c r="T45">
        <v>2.46994E-2</v>
      </c>
      <c r="U45">
        <v>2.4773699999999999E-2</v>
      </c>
      <c r="V45">
        <v>2.46147E-2</v>
      </c>
      <c r="W45">
        <v>2.49319E-2</v>
      </c>
      <c r="X45">
        <v>2.5115700000000001E-2</v>
      </c>
      <c r="Y45">
        <v>2.6848400000000001E-2</v>
      </c>
      <c r="Z45">
        <v>3.1185999999999998E-2</v>
      </c>
      <c r="AA45">
        <v>4.1536299999999998E-2</v>
      </c>
      <c r="AB45">
        <v>6.2643000000000004E-2</v>
      </c>
      <c r="AC45">
        <v>0.105435</v>
      </c>
      <c r="AD45">
        <v>0.19314000000000001</v>
      </c>
      <c r="AE45">
        <v>0.36619099999999999</v>
      </c>
      <c r="AF45">
        <v>0.71278399999999997</v>
      </c>
    </row>
    <row r="46" spans="1:32" x14ac:dyDescent="0.25">
      <c r="A46">
        <v>3.1770800000000002E-2</v>
      </c>
      <c r="B46">
        <v>3.5131799999999998E-2</v>
      </c>
      <c r="C46">
        <v>3.28419E-2</v>
      </c>
      <c r="D46">
        <v>3.2185100000000001E-2</v>
      </c>
      <c r="E46">
        <v>3.2971899999999998E-2</v>
      </c>
      <c r="F46">
        <v>3.2171100000000001E-2</v>
      </c>
      <c r="G46">
        <v>3.2515200000000001E-2</v>
      </c>
      <c r="H46">
        <v>3.2499800000000002E-2</v>
      </c>
      <c r="I46">
        <v>3.3558600000000001E-2</v>
      </c>
      <c r="J46">
        <v>3.77896E-2</v>
      </c>
      <c r="K46">
        <v>4.61547E-2</v>
      </c>
      <c r="L46">
        <v>6.2565399999999993E-2</v>
      </c>
      <c r="M46">
        <v>9.9395499999999998E-2</v>
      </c>
      <c r="N46">
        <v>0.16753100000000001</v>
      </c>
      <c r="O46">
        <v>0.30803999999999998</v>
      </c>
      <c r="P46">
        <v>0.58895399999999998</v>
      </c>
      <c r="Q46">
        <v>2.4866099999999999E-2</v>
      </c>
      <c r="R46">
        <v>2.43798E-2</v>
      </c>
      <c r="S46">
        <v>2.4726700000000001E-2</v>
      </c>
      <c r="T46">
        <v>2.4709200000000001E-2</v>
      </c>
      <c r="U46">
        <v>2.48933E-2</v>
      </c>
      <c r="V46">
        <v>2.4753000000000001E-2</v>
      </c>
      <c r="W46">
        <v>2.45574E-2</v>
      </c>
      <c r="X46">
        <v>2.51364E-2</v>
      </c>
      <c r="Y46">
        <v>2.6764699999999999E-2</v>
      </c>
      <c r="Z46">
        <v>3.1573999999999998E-2</v>
      </c>
      <c r="AA46">
        <v>4.1475999999999999E-2</v>
      </c>
      <c r="AB46">
        <v>6.3176499999999997E-2</v>
      </c>
      <c r="AC46">
        <v>0.105286</v>
      </c>
      <c r="AD46">
        <v>0.19328500000000001</v>
      </c>
      <c r="AE46">
        <v>0.36613200000000001</v>
      </c>
      <c r="AF46">
        <v>0.71249099999999999</v>
      </c>
    </row>
    <row r="47" spans="1:32" x14ac:dyDescent="0.25">
      <c r="A47">
        <v>3.2054600000000003E-2</v>
      </c>
      <c r="B47">
        <v>3.2642699999999997E-2</v>
      </c>
      <c r="C47">
        <v>3.2893699999999998E-2</v>
      </c>
      <c r="D47">
        <v>3.2604899999999999E-2</v>
      </c>
      <c r="E47">
        <v>3.3050000000000003E-2</v>
      </c>
      <c r="F47">
        <v>3.2339399999999997E-2</v>
      </c>
      <c r="G47">
        <v>3.2458399999999998E-2</v>
      </c>
      <c r="H47">
        <v>3.3003600000000001E-2</v>
      </c>
      <c r="I47">
        <v>3.3772400000000001E-2</v>
      </c>
      <c r="J47">
        <v>3.7926300000000003E-2</v>
      </c>
      <c r="K47">
        <v>4.5653600000000003E-2</v>
      </c>
      <c r="L47">
        <v>6.1958899999999997E-2</v>
      </c>
      <c r="M47">
        <v>9.8599699999999998E-2</v>
      </c>
      <c r="N47">
        <v>0.16711300000000001</v>
      </c>
      <c r="O47">
        <v>0.308172</v>
      </c>
      <c r="P47">
        <v>0.588009</v>
      </c>
      <c r="Q47">
        <v>2.4890700000000002E-2</v>
      </c>
      <c r="R47">
        <v>2.4805899999999999E-2</v>
      </c>
      <c r="S47">
        <v>2.4576199999999999E-2</v>
      </c>
      <c r="T47">
        <v>2.4769900000000001E-2</v>
      </c>
      <c r="U47">
        <v>2.4713800000000001E-2</v>
      </c>
      <c r="V47">
        <v>2.4741099999999999E-2</v>
      </c>
      <c r="W47">
        <v>2.50189E-2</v>
      </c>
      <c r="X47">
        <v>2.4951600000000001E-2</v>
      </c>
      <c r="Y47">
        <v>2.6863499999999998E-2</v>
      </c>
      <c r="Z47">
        <v>3.13663E-2</v>
      </c>
      <c r="AA47">
        <v>4.1419900000000003E-2</v>
      </c>
      <c r="AB47">
        <v>6.2641699999999995E-2</v>
      </c>
      <c r="AC47">
        <v>0.10507900000000001</v>
      </c>
      <c r="AD47">
        <v>0.19290599999999999</v>
      </c>
      <c r="AE47">
        <v>0.36602899999999999</v>
      </c>
      <c r="AF47">
        <v>0.71262999999999999</v>
      </c>
    </row>
    <row r="48" spans="1:32" x14ac:dyDescent="0.25">
      <c r="A48">
        <v>3.2793299999999997E-2</v>
      </c>
      <c r="B48">
        <v>3.2374699999999999E-2</v>
      </c>
      <c r="C48">
        <v>3.2891700000000003E-2</v>
      </c>
      <c r="D48">
        <v>3.26503E-2</v>
      </c>
      <c r="E48">
        <v>3.2823400000000003E-2</v>
      </c>
      <c r="F48">
        <v>3.2745999999999997E-2</v>
      </c>
      <c r="G48">
        <v>3.2546199999999997E-2</v>
      </c>
      <c r="H48">
        <v>3.3395000000000001E-2</v>
      </c>
      <c r="I48">
        <v>3.3602600000000003E-2</v>
      </c>
      <c r="J48">
        <v>3.7928499999999997E-2</v>
      </c>
      <c r="K48">
        <v>4.5588299999999998E-2</v>
      </c>
      <c r="L48">
        <v>6.2411300000000003E-2</v>
      </c>
      <c r="M48">
        <v>9.6849000000000005E-2</v>
      </c>
      <c r="N48">
        <v>0.16567200000000001</v>
      </c>
      <c r="O48">
        <v>0.30809700000000001</v>
      </c>
      <c r="P48">
        <v>0.58838299999999999</v>
      </c>
      <c r="Q48">
        <v>2.4539200000000001E-2</v>
      </c>
      <c r="R48">
        <v>2.4651200000000002E-2</v>
      </c>
      <c r="S48">
        <v>2.4912400000000001E-2</v>
      </c>
      <c r="T48">
        <v>2.4849900000000001E-2</v>
      </c>
      <c r="U48">
        <v>2.4806499999999999E-2</v>
      </c>
      <c r="V48">
        <v>2.4826000000000001E-2</v>
      </c>
      <c r="W48">
        <v>2.4833299999999999E-2</v>
      </c>
      <c r="X48">
        <v>2.4881500000000001E-2</v>
      </c>
      <c r="Y48">
        <v>2.6536400000000002E-2</v>
      </c>
      <c r="Z48">
        <v>3.1363500000000002E-2</v>
      </c>
      <c r="AA48">
        <v>4.1099799999999999E-2</v>
      </c>
      <c r="AB48">
        <v>6.2794500000000003E-2</v>
      </c>
      <c r="AC48">
        <v>0.10556</v>
      </c>
      <c r="AD48">
        <v>0.19373499999999999</v>
      </c>
      <c r="AE48">
        <v>0.36613499999999999</v>
      </c>
      <c r="AF48">
        <v>0.71243599999999996</v>
      </c>
    </row>
    <row r="49" spans="1:32" x14ac:dyDescent="0.25">
      <c r="A49">
        <v>3.2875599999999998E-2</v>
      </c>
      <c r="B49">
        <v>3.2888599999999997E-2</v>
      </c>
      <c r="C49">
        <v>3.2821099999999999E-2</v>
      </c>
      <c r="D49">
        <v>3.2348799999999997E-2</v>
      </c>
      <c r="E49">
        <v>3.2648400000000001E-2</v>
      </c>
      <c r="F49">
        <v>3.3102699999999999E-2</v>
      </c>
      <c r="G49">
        <v>3.2105399999999999E-2</v>
      </c>
      <c r="H49">
        <v>3.2849000000000003E-2</v>
      </c>
      <c r="I49">
        <v>3.3867500000000002E-2</v>
      </c>
      <c r="J49">
        <v>3.73456E-2</v>
      </c>
      <c r="K49">
        <v>4.6359900000000002E-2</v>
      </c>
      <c r="L49">
        <v>6.2677899999999995E-2</v>
      </c>
      <c r="M49">
        <v>9.6913100000000002E-2</v>
      </c>
      <c r="N49">
        <v>0.16573599999999999</v>
      </c>
      <c r="O49">
        <v>0.30821599999999999</v>
      </c>
      <c r="P49">
        <v>0.58841500000000002</v>
      </c>
      <c r="Q49">
        <v>2.48373E-2</v>
      </c>
      <c r="R49">
        <v>2.4680500000000001E-2</v>
      </c>
      <c r="S49">
        <v>2.4664700000000001E-2</v>
      </c>
      <c r="T49">
        <v>2.4519300000000001E-2</v>
      </c>
      <c r="U49">
        <v>2.4941600000000001E-2</v>
      </c>
      <c r="V49">
        <v>2.47234E-2</v>
      </c>
      <c r="W49">
        <v>2.4765499999999999E-2</v>
      </c>
      <c r="X49">
        <v>2.5397699999999999E-2</v>
      </c>
      <c r="Y49">
        <v>2.67294E-2</v>
      </c>
      <c r="Z49">
        <v>3.1847100000000003E-2</v>
      </c>
      <c r="AA49">
        <v>4.1674200000000002E-2</v>
      </c>
      <c r="AB49">
        <v>6.2888399999999997E-2</v>
      </c>
      <c r="AC49">
        <v>0.10568</v>
      </c>
      <c r="AD49">
        <v>0.193051</v>
      </c>
      <c r="AE49">
        <v>0.36625400000000002</v>
      </c>
      <c r="AF49">
        <v>0.71291400000000005</v>
      </c>
    </row>
    <row r="50" spans="1:32" x14ac:dyDescent="0.25">
      <c r="A50">
        <v>3.2106799999999998E-2</v>
      </c>
      <c r="B50">
        <v>3.2621999999999998E-2</v>
      </c>
      <c r="C50">
        <v>3.2788400000000002E-2</v>
      </c>
      <c r="D50">
        <v>3.30861E-2</v>
      </c>
      <c r="E50">
        <v>3.2391900000000001E-2</v>
      </c>
      <c r="F50">
        <v>3.2841299999999997E-2</v>
      </c>
      <c r="G50">
        <v>3.4725800000000001E-2</v>
      </c>
      <c r="H50">
        <v>3.3764299999999997E-2</v>
      </c>
      <c r="I50">
        <v>3.3683400000000002E-2</v>
      </c>
      <c r="J50">
        <v>3.7623200000000002E-2</v>
      </c>
      <c r="K50">
        <v>4.5519999999999998E-2</v>
      </c>
      <c r="L50">
        <v>6.3240500000000005E-2</v>
      </c>
      <c r="M50">
        <v>9.6571299999999999E-2</v>
      </c>
      <c r="N50">
        <v>0.16564899999999999</v>
      </c>
      <c r="O50">
        <v>0.30838300000000002</v>
      </c>
      <c r="P50">
        <v>0.58835199999999999</v>
      </c>
      <c r="Q50">
        <v>2.4936300000000002E-2</v>
      </c>
      <c r="R50">
        <v>2.4908599999999999E-2</v>
      </c>
      <c r="S50">
        <v>2.4510500000000001E-2</v>
      </c>
      <c r="T50">
        <v>2.4913999999999999E-2</v>
      </c>
      <c r="U50">
        <v>2.47502E-2</v>
      </c>
      <c r="V50">
        <v>2.46731E-2</v>
      </c>
      <c r="W50">
        <v>2.4908599999999999E-2</v>
      </c>
      <c r="X50">
        <v>2.5272699999999999E-2</v>
      </c>
      <c r="Y50">
        <v>2.67037E-2</v>
      </c>
      <c r="Z50">
        <v>3.1526699999999998E-2</v>
      </c>
      <c r="AA50">
        <v>4.1509499999999998E-2</v>
      </c>
      <c r="AB50">
        <v>6.2597600000000003E-2</v>
      </c>
      <c r="AC50">
        <v>0.105293</v>
      </c>
      <c r="AD50">
        <v>0.19289999999999999</v>
      </c>
      <c r="AE50">
        <v>0.36619299999999999</v>
      </c>
      <c r="AF50">
        <v>0.71270299999999998</v>
      </c>
    </row>
    <row r="51" spans="1:32" x14ac:dyDescent="0.25">
      <c r="A51">
        <v>3.27473E-2</v>
      </c>
      <c r="B51">
        <v>3.2577000000000002E-2</v>
      </c>
      <c r="C51">
        <v>3.1840399999999998E-2</v>
      </c>
      <c r="D51">
        <v>3.3651399999999998E-2</v>
      </c>
      <c r="E51">
        <v>3.3163400000000003E-2</v>
      </c>
      <c r="F51">
        <v>3.26913E-2</v>
      </c>
      <c r="G51">
        <v>3.3106499999999997E-2</v>
      </c>
      <c r="H51">
        <v>3.2744700000000002E-2</v>
      </c>
      <c r="I51">
        <v>3.4195799999999998E-2</v>
      </c>
      <c r="J51">
        <v>3.7750600000000002E-2</v>
      </c>
      <c r="K51">
        <v>4.5913099999999998E-2</v>
      </c>
      <c r="L51">
        <v>6.2369300000000003E-2</v>
      </c>
      <c r="M51">
        <v>9.7224500000000005E-2</v>
      </c>
      <c r="N51">
        <v>0.166605</v>
      </c>
      <c r="O51">
        <v>0.30828</v>
      </c>
      <c r="P51">
        <v>0.58877999999999997</v>
      </c>
      <c r="Q51">
        <v>2.46E-2</v>
      </c>
      <c r="R51">
        <v>2.51633E-2</v>
      </c>
      <c r="S51">
        <v>2.52076E-2</v>
      </c>
      <c r="T51">
        <v>2.4742799999999999E-2</v>
      </c>
      <c r="U51">
        <v>2.4923899999999999E-2</v>
      </c>
      <c r="V51">
        <v>2.46561E-2</v>
      </c>
      <c r="W51">
        <v>2.5049200000000001E-2</v>
      </c>
      <c r="X51">
        <v>2.5013400000000002E-2</v>
      </c>
      <c r="Y51">
        <v>2.6908499999999998E-2</v>
      </c>
      <c r="Z51">
        <v>3.1718900000000001E-2</v>
      </c>
      <c r="AA51">
        <v>4.1619299999999998E-2</v>
      </c>
      <c r="AB51">
        <v>6.2759800000000004E-2</v>
      </c>
      <c r="AC51">
        <v>0.105238</v>
      </c>
      <c r="AD51">
        <v>0.19292100000000001</v>
      </c>
      <c r="AE51">
        <v>0.36595499999999997</v>
      </c>
      <c r="AF51">
        <v>0.71273699999999995</v>
      </c>
    </row>
    <row r="52" spans="1:32" x14ac:dyDescent="0.25">
      <c r="A52">
        <f>SUBTOTAL(101,x__3[minMaxPar_50_15.txt])</f>
        <v>3.2773771999999993E-2</v>
      </c>
      <c r="B52">
        <f>SUBTOTAL(101,x__3[minMaxPar_50_16.txt])</f>
        <v>3.2805918000000003E-2</v>
      </c>
      <c r="C52">
        <f>SUBTOTAL(101,x__3[minMaxPar_50_17.txt])</f>
        <v>3.2817488000000006E-2</v>
      </c>
      <c r="D52">
        <f>SUBTOTAL(101,x__3[minMaxPar_50_18.txt])</f>
        <v>3.2718262000000012E-2</v>
      </c>
      <c r="E52">
        <f>SUBTOTAL(101,x__3[minMaxPar_50_19.txt])</f>
        <v>3.2654292000000001E-2</v>
      </c>
      <c r="F52">
        <f>SUBTOTAL(101,x__3[minMaxPar_50_20.txt])</f>
        <v>3.2893781999999996E-2</v>
      </c>
      <c r="G52">
        <f>SUBTOTAL(101,x__3[minMaxPar_50_21.txt])</f>
        <v>3.2913353999999985E-2</v>
      </c>
      <c r="H52">
        <f>SUBTOTAL(101,x__3[minMaxPar_50_22.txt])</f>
        <v>3.3179492000000005E-2</v>
      </c>
      <c r="I52">
        <f>SUBTOTAL(101,x__3[minMaxPar_50_23.txt])</f>
        <v>3.4116530000000006E-2</v>
      </c>
      <c r="J52">
        <f>SUBTOTAL(101,x__3[minMaxPar_50_24.txt])</f>
        <v>3.7699012000000004E-2</v>
      </c>
      <c r="K52">
        <f>SUBTOTAL(101,x__3[minMaxPar_50_25.txt])</f>
        <v>4.5751429999999996E-2</v>
      </c>
      <c r="L52">
        <f>SUBTOTAL(101,x__3[minMaxPar_50_26.txt])</f>
        <v>6.2553608000000011E-2</v>
      </c>
      <c r="M52">
        <f>SUBTOTAL(101,x__3[minMaxPar_50_27.txt])</f>
        <v>9.7358976E-2</v>
      </c>
      <c r="N52">
        <f>SUBTOTAL(101,x__3[minMaxPar_50_28.txt])</f>
        <v>0.1661038</v>
      </c>
      <c r="O52">
        <f>SUBTOTAL(101,x__3[minMaxPar_50_29.txt])</f>
        <v>0.30822346</v>
      </c>
      <c r="P52">
        <f>SUBTOTAL(101,x__3[minMaxPar_50_30.txt])</f>
        <v>0.58856969999999986</v>
      </c>
      <c r="Q52">
        <f>SUBTOTAL(101,x__3[montePar_50_15.txt])</f>
        <v>2.5347829999999991E-2</v>
      </c>
      <c r="R52">
        <f>SUBTOTAL(101,x__3[montePar_50_16.txt])</f>
        <v>2.4813886000000004E-2</v>
      </c>
      <c r="S52">
        <f>SUBTOTAL(101,x__3[montePar_50_17.txt])</f>
        <v>2.4767662000000006E-2</v>
      </c>
      <c r="T52">
        <f>SUBTOTAL(101,x__3[montePar_50_18.txt])</f>
        <v>2.4745970000000006E-2</v>
      </c>
      <c r="U52">
        <f>SUBTOTAL(101,x__3[montePar_50_19.txt])</f>
        <v>2.4727509999999998E-2</v>
      </c>
      <c r="V52">
        <f>SUBTOTAL(101,x__3[montePar_50_20.txt])</f>
        <v>2.4822824000000004E-2</v>
      </c>
      <c r="W52">
        <f>SUBTOTAL(101,x__3[montePar_50_21.txt])</f>
        <v>2.4915128000000002E-2</v>
      </c>
      <c r="X52">
        <f>SUBTOTAL(101,x__3[montePar_50_22.txt])</f>
        <v>2.5221278000000003E-2</v>
      </c>
      <c r="Y52">
        <f>SUBTOTAL(101,x__3[montePar_50_23.txt])</f>
        <v>2.6745033999999997E-2</v>
      </c>
      <c r="Z52">
        <f>SUBTOTAL(101,x__3[montePar_50_24.txt])</f>
        <v>3.1438103999999994E-2</v>
      </c>
      <c r="AA52">
        <f>SUBTOTAL(101,x__3[montePar_50_25.txt])</f>
        <v>4.1611261999999989E-2</v>
      </c>
      <c r="AB52">
        <f>SUBTOTAL(101,x__3[montePar_50_26.txt])</f>
        <v>6.2744039999999987E-2</v>
      </c>
      <c r="AC52">
        <f>SUBTOTAL(101,x__3[montePar_50_27.txt])</f>
        <v>0.10539098000000002</v>
      </c>
      <c r="AD52">
        <f>SUBTOTAL(101,x__3[montePar_50_28.txt])</f>
        <v>0.19240650000000004</v>
      </c>
      <c r="AE52">
        <f>SUBTOTAL(101,x__3[montePar_50_29.txt])</f>
        <v>0.36610278000000002</v>
      </c>
      <c r="AF52">
        <f>SUBTOTAL(101,x__3[montePar_50_30.txt])</f>
        <v>0.71263159999999981</v>
      </c>
    </row>
    <row r="53" spans="1:32" x14ac:dyDescent="0.25">
      <c r="A53">
        <f>_xlfn.STDEV.P(x__3[minMaxPar_50_15.txt])</f>
        <v>5.7479406052602842E-4</v>
      </c>
      <c r="B53">
        <f>_xlfn.STDEV.P(x__3[minMaxPar_50_16.txt])</f>
        <v>6.9568045558000228E-4</v>
      </c>
      <c r="C53">
        <f>_xlfn.STDEV.P(x__3[minMaxPar_50_17.txt])</f>
        <v>4.7591807347063445E-4</v>
      </c>
      <c r="D53">
        <f>_xlfn.STDEV.P(x__3[minMaxPar_50_18.txt])</f>
        <v>3.7871351065944293E-4</v>
      </c>
      <c r="E53">
        <f>_xlfn.STDEV.P(x__3[minMaxPar_50_19.txt])</f>
        <v>4.6774330645771983E-4</v>
      </c>
      <c r="F53">
        <f>_xlfn.STDEV.P(x__3[minMaxPar_50_20.txt])</f>
        <v>5.5367314209378072E-4</v>
      </c>
      <c r="G53">
        <f>_xlfn.STDEV.P(x__3[minMaxPar_50_21.txt])</f>
        <v>4.9541874983088832E-4</v>
      </c>
      <c r="H53">
        <f>_xlfn.STDEV.P(x__3[minMaxPar_50_22.txt])</f>
        <v>9.9783082611031764E-4</v>
      </c>
      <c r="I53">
        <f>_xlfn.STDEV.P(x__3[minMaxPar_50_23.txt])</f>
        <v>6.5980511342365292E-4</v>
      </c>
      <c r="J53">
        <f>_xlfn.STDEV.P(x__3[minMaxPar_50_24.txt])</f>
        <v>5.9254495108472538E-4</v>
      </c>
      <c r="K53">
        <f>_xlfn.STDEV.P(x__3[minMaxPar_50_25.txt])</f>
        <v>4.5945652340564257E-4</v>
      </c>
      <c r="L53">
        <f>_xlfn.STDEV.P(x__3[minMaxPar_50_26.txt])</f>
        <v>3.6726721217119316E-4</v>
      </c>
      <c r="M53">
        <f>_xlfn.STDEV.P(x__3[minMaxPar_50_27.txt])</f>
        <v>6.4326394195850841E-4</v>
      </c>
      <c r="N53">
        <f>_xlfn.STDEV.P(x__3[minMaxPar_50_28.txt])</f>
        <v>4.1055128790444827E-4</v>
      </c>
      <c r="O53">
        <f>_xlfn.STDEV.P(x__3[minMaxPar_50_29.txt])</f>
        <v>3.083580522704105E-4</v>
      </c>
      <c r="P53">
        <f>_xlfn.STDEV.P(x__3[minMaxPar_50_30.txt])</f>
        <v>3.4767911930398237E-4</v>
      </c>
      <c r="Q53">
        <f>_xlfn.STDEV.P(x__3[montePar_50_15.txt])</f>
        <v>1.2684656036724049E-3</v>
      </c>
      <c r="R53">
        <f>_xlfn.STDEV.P(x__3[montePar_50_16.txt])</f>
        <v>2.1780648016989749E-4</v>
      </c>
      <c r="S53">
        <f>_xlfn.STDEV.P(x__3[montePar_50_17.txt])</f>
        <v>2.1827587854822634E-4</v>
      </c>
      <c r="T53">
        <f>_xlfn.STDEV.P(x__3[montePar_50_18.txt])</f>
        <v>2.0096714383202049E-4</v>
      </c>
      <c r="U53">
        <f>_xlfn.STDEV.P(x__3[montePar_50_19.txt])</f>
        <v>2.0192487241546057E-4</v>
      </c>
      <c r="V53">
        <f>_xlfn.STDEV.P(x__3[montePar_50_20.txt])</f>
        <v>2.0850661530033069E-4</v>
      </c>
      <c r="W53">
        <f>_xlfn.STDEV.P(x__3[montePar_50_21.txt])</f>
        <v>1.6102548374713859E-4</v>
      </c>
      <c r="X53">
        <f>_xlfn.STDEV.P(x__3[montePar_50_22.txt])</f>
        <v>1.8542088371054617E-4</v>
      </c>
      <c r="Y53">
        <f>_xlfn.STDEV.P(x__3[montePar_50_23.txt])</f>
        <v>1.4076518690358061E-4</v>
      </c>
      <c r="Z53">
        <f>_xlfn.STDEV.P(x__3[montePar_50_24.txt])</f>
        <v>2.1343945742059912E-4</v>
      </c>
      <c r="AA53">
        <f>_xlfn.STDEV.P(x__3[montePar_50_25.txt])</f>
        <v>1.8036750138536656E-4</v>
      </c>
      <c r="AB53">
        <f>_xlfn.STDEV.P(x__3[montePar_50_26.txt])</f>
        <v>1.5593993587275748E-4</v>
      </c>
      <c r="AC53">
        <f>_xlfn.STDEV.P(x__3[montePar_50_27.txt])</f>
        <v>1.360363907195429E-4</v>
      </c>
      <c r="AD53">
        <f>_xlfn.STDEV.P(x__3[montePar_50_28.txt])</f>
        <v>1.1998820983746697E-3</v>
      </c>
      <c r="AE53">
        <f>_xlfn.STDEV.P(x__3[montePar_50_29.txt])</f>
        <v>1.0427910433064042E-4</v>
      </c>
      <c r="AF53">
        <f>_xlfn.STDEV.P(x__3[montePar_50_30.txt])</f>
        <v>1.3857748734912934E-4</v>
      </c>
    </row>
    <row r="54" spans="1:32" x14ac:dyDescent="0.25">
      <c r="A54" s="3">
        <f>A53/x__3[[#Totals],[minMaxPar_50_15.txt]]</f>
        <v>1.7538233332618183E-2</v>
      </c>
      <c r="B54" s="3">
        <f>B53/x__3[[#Totals],[minMaxPar_50_16.txt]]</f>
        <v>2.1205943865981808E-2</v>
      </c>
      <c r="C54" s="3">
        <f>C53/x__3[[#Totals],[minMaxPar_50_17.txt]]</f>
        <v>1.4501965338438895E-2</v>
      </c>
      <c r="D54" s="3">
        <f>D53/x__3[[#Totals],[minMaxPar_50_18.txt]]</f>
        <v>1.1574988630491521E-2</v>
      </c>
      <c r="E54" s="3">
        <f>E53/x__3[[#Totals],[minMaxPar_50_19.txt]]</f>
        <v>1.4324098849171798E-2</v>
      </c>
      <c r="F54" s="3">
        <f>F53/x__3[[#Totals],[minMaxPar_50_20.txt]]</f>
        <v>1.6832152109896661E-2</v>
      </c>
      <c r="G54" s="3">
        <f>G53/x__3[[#Totals],[minMaxPar_50_21.txt]]</f>
        <v>1.5052211021425788E-2</v>
      </c>
      <c r="H54" s="3">
        <f>H53/x__3[[#Totals],[minMaxPar_50_22.txt]]</f>
        <v>3.0073722229090112E-2</v>
      </c>
      <c r="I54" s="3">
        <f>I53/x__3[[#Totals],[minMaxPar_50_23.txt]]</f>
        <v>1.9339748603496687E-2</v>
      </c>
      <c r="J54" s="3">
        <f>J53/x__3[[#Totals],[minMaxPar_50_24.txt]]</f>
        <v>1.5717784622173263E-2</v>
      </c>
      <c r="K54" s="3">
        <f>K53/x__3[[#Totals],[minMaxPar_50_25.txt]]</f>
        <v>1.0042451643711302E-2</v>
      </c>
      <c r="L54" s="3">
        <f>L53/x__3[[#Totals],[minMaxPar_50_26.txt]]</f>
        <v>5.871239468252464E-3</v>
      </c>
      <c r="M54" s="3">
        <f>M53/x__3[[#Totals],[minMaxPar_50_27.txt]]</f>
        <v>6.607135452600779E-3</v>
      </c>
      <c r="N54" s="3">
        <f>N53/x__3[[#Totals],[minMaxPar_50_28.txt]]</f>
        <v>2.471655000695037E-3</v>
      </c>
      <c r="O54" s="3">
        <f>O53/x__3[[#Totals],[minMaxPar_50_29.txt]]</f>
        <v>1.0004366710775698E-3</v>
      </c>
      <c r="P54" s="3">
        <f>P53/x__3[[#Totals],[minMaxPar_50_30.txt]]</f>
        <v>5.9071868515144844E-4</v>
      </c>
      <c r="Q54" s="3">
        <f>Q53/x__3[[#Totals],[montePar_50_15.txt]]</f>
        <v>5.0042374580877548E-2</v>
      </c>
      <c r="R54" s="3">
        <f>R53/x__3[[#Totals],[montePar_50_16.txt]]</f>
        <v>8.7776046109786059E-3</v>
      </c>
      <c r="S54" s="3">
        <f>S53/x__3[[#Totals],[montePar_50_17.txt]]</f>
        <v>8.812938360844326E-3</v>
      </c>
      <c r="T54" s="3">
        <f>T53/x__3[[#Totals],[montePar_50_18.txt]]</f>
        <v>8.1212069614575808E-3</v>
      </c>
      <c r="U54" s="3">
        <f>U53/x__3[[#Totals],[montePar_50_19.txt]]</f>
        <v>8.1660010415711328E-3</v>
      </c>
      <c r="V54" s="3">
        <f>V53/x__3[[#Totals],[montePar_50_20.txt]]</f>
        <v>8.3997942901392151E-3</v>
      </c>
      <c r="W54" s="3">
        <f>W53/x__3[[#Totals],[montePar_50_21.txt]]</f>
        <v>6.4629603246324314E-3</v>
      </c>
      <c r="X54" s="3">
        <f>X53/x__3[[#Totals],[montePar_50_22.txt]]</f>
        <v>7.3517640030194408E-3</v>
      </c>
      <c r="Y54" s="3">
        <f>Y53/x__3[[#Totals],[montePar_50_23.txt]]</f>
        <v>5.2632270687552919E-3</v>
      </c>
      <c r="Z54" s="3">
        <f>Z53/x__3[[#Totals],[montePar_50_24.txt]]</f>
        <v>6.7891962384436146E-3</v>
      </c>
      <c r="AA54" s="3">
        <f>AA53/x__3[[#Totals],[montePar_50_25.txt]]</f>
        <v>4.3345837813178224E-3</v>
      </c>
      <c r="AB54" s="3">
        <f>AB53/x__3[[#Totals],[montePar_50_26.txt]]</f>
        <v>2.4853346369273881E-3</v>
      </c>
      <c r="AC54" s="3">
        <f>AC53/x__3[[#Totals],[montePar_50_27.txt]]</f>
        <v>1.2907783068298907E-3</v>
      </c>
      <c r="AD54" s="3">
        <f>AD53/x__3[[#Totals],[montePar_50_28.txt]]</f>
        <v>6.2361827608457586E-3</v>
      </c>
      <c r="AE54" s="3">
        <f>AE53/x__3[[#Totals],[montePar_50_29.txt]]</f>
        <v>2.8483559816355508E-4</v>
      </c>
      <c r="AF54" s="3">
        <f>AF53/x__3[[#Totals],[montePar_50_30.txt]]</f>
        <v>1.9445880220457439E-4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839D93-B2B2-4DBB-9654-7AD128734D1E}">
  <dimension ref="A1:AF54"/>
  <sheetViews>
    <sheetView topLeftCell="X37" workbookViewId="0">
      <selection activeCell="Q52" sqref="Q52:AF54"/>
    </sheetView>
  </sheetViews>
  <sheetFormatPr defaultRowHeight="15" x14ac:dyDescent="0.25"/>
  <cols>
    <col min="1" max="16" width="22.7109375" bestFit="1" customWidth="1"/>
    <col min="17" max="32" width="21.28515625" bestFit="1" customWidth="1"/>
  </cols>
  <sheetData>
    <row r="1" spans="1:3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</row>
    <row r="2" spans="1:32" x14ac:dyDescent="0.25">
      <c r="A2">
        <v>1.3537799999999999E-2</v>
      </c>
      <c r="B2">
        <v>1.32321E-2</v>
      </c>
      <c r="C2">
        <v>1.30557E-2</v>
      </c>
      <c r="D2">
        <v>1.4431299999999999E-2</v>
      </c>
      <c r="E2">
        <v>1.41847E-2</v>
      </c>
      <c r="F2">
        <v>1.5606500000000001E-2</v>
      </c>
      <c r="G2">
        <v>2.0923199999999999E-2</v>
      </c>
      <c r="H2">
        <v>2.84627E-2</v>
      </c>
      <c r="I2">
        <v>4.4058800000000002E-2</v>
      </c>
      <c r="J2">
        <v>7.8362000000000001E-2</v>
      </c>
      <c r="K2">
        <v>0.14494799999999999</v>
      </c>
      <c r="L2">
        <v>0.279389</v>
      </c>
      <c r="M2">
        <v>0.54732599999999998</v>
      </c>
      <c r="N2">
        <v>1.0992999999999999</v>
      </c>
      <c r="O2">
        <v>2.1860900000000001</v>
      </c>
      <c r="P2">
        <v>4.3607199999999997</v>
      </c>
      <c r="Q2">
        <v>1.5142900000000001E-2</v>
      </c>
      <c r="R2">
        <v>9.2764000000000006E-3</v>
      </c>
      <c r="S2">
        <v>9.5318E-3</v>
      </c>
      <c r="T2">
        <v>9.4823000000000008E-3</v>
      </c>
      <c r="U2">
        <v>1.01534E-2</v>
      </c>
      <c r="V2">
        <v>1.18762E-2</v>
      </c>
      <c r="W2">
        <v>1.5898499999999999E-2</v>
      </c>
      <c r="X2">
        <v>2.4226899999999999E-2</v>
      </c>
      <c r="Y2">
        <v>4.1446700000000003E-2</v>
      </c>
      <c r="Z2">
        <v>7.6366400000000001E-2</v>
      </c>
      <c r="AA2">
        <v>0.14552000000000001</v>
      </c>
      <c r="AB2">
        <v>0.28407500000000002</v>
      </c>
      <c r="AC2">
        <v>0.56048799999999999</v>
      </c>
      <c r="AD2">
        <v>1.1305799999999999</v>
      </c>
      <c r="AE2">
        <v>2.25223</v>
      </c>
      <c r="AF2">
        <v>4.4962</v>
      </c>
    </row>
    <row r="3" spans="1:32" x14ac:dyDescent="0.25">
      <c r="A3">
        <v>1.33378E-2</v>
      </c>
      <c r="B3">
        <v>1.32576E-2</v>
      </c>
      <c r="C3">
        <v>1.35058E-2</v>
      </c>
      <c r="D3">
        <v>1.34673E-2</v>
      </c>
      <c r="E3">
        <v>1.38967E-2</v>
      </c>
      <c r="F3">
        <v>1.75821E-2</v>
      </c>
      <c r="G3">
        <v>1.93796E-2</v>
      </c>
      <c r="H3">
        <v>2.74509E-2</v>
      </c>
      <c r="I3">
        <v>4.4937199999999997E-2</v>
      </c>
      <c r="J3">
        <v>7.8273499999999996E-2</v>
      </c>
      <c r="K3">
        <v>0.145921</v>
      </c>
      <c r="L3">
        <v>0.27955999999999998</v>
      </c>
      <c r="M3">
        <v>0.54735100000000003</v>
      </c>
      <c r="N3">
        <v>1.09924</v>
      </c>
      <c r="O3">
        <v>2.1859099999999998</v>
      </c>
      <c r="P3">
        <v>4.35947</v>
      </c>
      <c r="Q3">
        <v>1.00585E-2</v>
      </c>
      <c r="R3">
        <v>9.5075000000000003E-3</v>
      </c>
      <c r="S3">
        <v>9.1347000000000008E-3</v>
      </c>
      <c r="T3">
        <v>9.5283999999999994E-3</v>
      </c>
      <c r="U3">
        <v>1.01233E-2</v>
      </c>
      <c r="V3">
        <v>1.1658200000000001E-2</v>
      </c>
      <c r="W3">
        <v>1.56125E-2</v>
      </c>
      <c r="X3">
        <v>2.4075699999999998E-2</v>
      </c>
      <c r="Y3">
        <v>4.1383200000000002E-2</v>
      </c>
      <c r="Z3">
        <v>7.5798500000000005E-2</v>
      </c>
      <c r="AA3">
        <v>0.145149</v>
      </c>
      <c r="AB3">
        <v>0.28378999999999999</v>
      </c>
      <c r="AC3">
        <v>0.56016900000000003</v>
      </c>
      <c r="AD3">
        <v>1.12988</v>
      </c>
      <c r="AE3">
        <v>2.2517800000000001</v>
      </c>
      <c r="AF3">
        <v>4.4954099999999997</v>
      </c>
    </row>
    <row r="4" spans="1:32" x14ac:dyDescent="0.25">
      <c r="A4">
        <v>1.29032E-2</v>
      </c>
      <c r="B4">
        <v>1.29166E-2</v>
      </c>
      <c r="C4">
        <v>1.3067E-2</v>
      </c>
      <c r="D4">
        <v>1.3798899999999999E-2</v>
      </c>
      <c r="E4">
        <v>1.3688499999999999E-2</v>
      </c>
      <c r="F4">
        <v>1.64376E-2</v>
      </c>
      <c r="G4">
        <v>1.9008299999999999E-2</v>
      </c>
      <c r="H4">
        <v>2.7237399999999998E-2</v>
      </c>
      <c r="I4">
        <v>4.3973100000000001E-2</v>
      </c>
      <c r="J4">
        <v>7.8032500000000005E-2</v>
      </c>
      <c r="K4">
        <v>0.145673</v>
      </c>
      <c r="L4">
        <v>0.27898299999999998</v>
      </c>
      <c r="M4">
        <v>0.54716100000000001</v>
      </c>
      <c r="N4">
        <v>1.09884</v>
      </c>
      <c r="O4">
        <v>2.1856399999999998</v>
      </c>
      <c r="P4">
        <v>4.3599199999999998</v>
      </c>
      <c r="Q4">
        <v>9.7812999999999997E-3</v>
      </c>
      <c r="R4">
        <v>9.3405999999999993E-3</v>
      </c>
      <c r="S4">
        <v>9.1757999999999996E-3</v>
      </c>
      <c r="T4">
        <v>9.6072999999999992E-3</v>
      </c>
      <c r="U4">
        <v>1.04084E-2</v>
      </c>
      <c r="V4">
        <v>1.17357E-2</v>
      </c>
      <c r="W4">
        <v>1.5358500000000001E-2</v>
      </c>
      <c r="X4">
        <v>2.3734000000000002E-2</v>
      </c>
      <c r="Y4">
        <v>4.1450099999999997E-2</v>
      </c>
      <c r="Z4">
        <v>7.6328800000000002E-2</v>
      </c>
      <c r="AA4">
        <v>0.14554</v>
      </c>
      <c r="AB4">
        <v>0.283941</v>
      </c>
      <c r="AC4">
        <v>0.56015000000000004</v>
      </c>
      <c r="AD4">
        <v>1.12921</v>
      </c>
      <c r="AE4">
        <v>2.2515399999999999</v>
      </c>
      <c r="AF4">
        <v>4.4956699999999996</v>
      </c>
    </row>
    <row r="5" spans="1:32" x14ac:dyDescent="0.25">
      <c r="A5">
        <v>1.29865E-2</v>
      </c>
      <c r="B5">
        <v>1.30878E-2</v>
      </c>
      <c r="C5">
        <v>1.29748E-2</v>
      </c>
      <c r="D5">
        <v>1.34623E-2</v>
      </c>
      <c r="E5">
        <v>1.3949899999999999E-2</v>
      </c>
      <c r="F5">
        <v>1.5658100000000001E-2</v>
      </c>
      <c r="G5">
        <v>1.8902499999999999E-2</v>
      </c>
      <c r="H5">
        <v>2.83313E-2</v>
      </c>
      <c r="I5">
        <v>4.4204399999999998E-2</v>
      </c>
      <c r="J5">
        <v>7.8120099999999998E-2</v>
      </c>
      <c r="K5">
        <v>0.14527999999999999</v>
      </c>
      <c r="L5">
        <v>0.27915699999999999</v>
      </c>
      <c r="M5">
        <v>0.54691999999999996</v>
      </c>
      <c r="N5">
        <v>1.099</v>
      </c>
      <c r="O5">
        <v>2.1859700000000002</v>
      </c>
      <c r="P5">
        <v>4.3601900000000002</v>
      </c>
      <c r="Q5">
        <v>1.00328E-2</v>
      </c>
      <c r="R5">
        <v>9.2276000000000007E-3</v>
      </c>
      <c r="S5">
        <v>9.1129999999999996E-3</v>
      </c>
      <c r="T5">
        <v>9.4036999999999992E-3</v>
      </c>
      <c r="U5">
        <v>9.7389E-3</v>
      </c>
      <c r="V5">
        <v>1.14819E-2</v>
      </c>
      <c r="W5">
        <v>1.53261E-2</v>
      </c>
      <c r="X5">
        <v>2.39942E-2</v>
      </c>
      <c r="Y5">
        <v>4.1381899999999999E-2</v>
      </c>
      <c r="Z5">
        <v>7.6308299999999996E-2</v>
      </c>
      <c r="AA5">
        <v>0.14577499999999999</v>
      </c>
      <c r="AB5">
        <v>0.28356599999999998</v>
      </c>
      <c r="AC5">
        <v>0.56050500000000003</v>
      </c>
      <c r="AD5">
        <v>1.1297900000000001</v>
      </c>
      <c r="AE5">
        <v>2.25204</v>
      </c>
      <c r="AF5">
        <v>4.4958</v>
      </c>
    </row>
    <row r="6" spans="1:32" x14ac:dyDescent="0.25">
      <c r="A6">
        <v>1.30099E-2</v>
      </c>
      <c r="B6">
        <v>1.2794399999999999E-2</v>
      </c>
      <c r="C6">
        <v>1.32164E-2</v>
      </c>
      <c r="D6">
        <v>1.2980500000000001E-2</v>
      </c>
      <c r="E6">
        <v>1.4251E-2</v>
      </c>
      <c r="F6">
        <v>1.53933E-2</v>
      </c>
      <c r="G6">
        <v>1.88871E-2</v>
      </c>
      <c r="H6">
        <v>2.76525E-2</v>
      </c>
      <c r="I6">
        <v>4.4362199999999997E-2</v>
      </c>
      <c r="J6">
        <v>7.8213500000000005E-2</v>
      </c>
      <c r="K6">
        <v>0.14569399999999999</v>
      </c>
      <c r="L6">
        <v>0.27944799999999997</v>
      </c>
      <c r="M6">
        <v>0.54708599999999996</v>
      </c>
      <c r="N6">
        <v>1.09873</v>
      </c>
      <c r="O6">
        <v>2.1856100000000001</v>
      </c>
      <c r="P6">
        <v>4.3601299999999998</v>
      </c>
      <c r="Q6">
        <v>1.02373E-2</v>
      </c>
      <c r="R6">
        <v>9.0352999999999996E-3</v>
      </c>
      <c r="S6">
        <v>9.1083999999999991E-3</v>
      </c>
      <c r="T6">
        <v>9.3936999999999996E-3</v>
      </c>
      <c r="U6">
        <v>9.8017999999999994E-3</v>
      </c>
      <c r="V6">
        <v>1.1764500000000001E-2</v>
      </c>
      <c r="W6">
        <v>1.5505100000000001E-2</v>
      </c>
      <c r="X6">
        <v>2.3862999999999999E-2</v>
      </c>
      <c r="Y6">
        <v>4.1219899999999997E-2</v>
      </c>
      <c r="Z6">
        <v>7.5978000000000004E-2</v>
      </c>
      <c r="AA6">
        <v>0.14546400000000001</v>
      </c>
      <c r="AB6">
        <v>0.283526</v>
      </c>
      <c r="AC6">
        <v>0.56067</v>
      </c>
      <c r="AD6">
        <v>1.1296999999999999</v>
      </c>
      <c r="AE6">
        <v>2.25156</v>
      </c>
      <c r="AF6">
        <v>4.4961799999999998</v>
      </c>
    </row>
    <row r="7" spans="1:32" x14ac:dyDescent="0.25">
      <c r="A7">
        <v>1.2811700000000001E-2</v>
      </c>
      <c r="B7">
        <v>1.28142E-2</v>
      </c>
      <c r="C7">
        <v>1.2629899999999999E-2</v>
      </c>
      <c r="D7">
        <v>1.3128900000000001E-2</v>
      </c>
      <c r="E7">
        <v>1.40067E-2</v>
      </c>
      <c r="F7">
        <v>1.5017600000000001E-2</v>
      </c>
      <c r="G7">
        <v>2.02349E-2</v>
      </c>
      <c r="H7">
        <v>2.7649300000000002E-2</v>
      </c>
      <c r="I7">
        <v>4.3924499999999998E-2</v>
      </c>
      <c r="J7">
        <v>7.8115699999999996E-2</v>
      </c>
      <c r="K7">
        <v>0.14566599999999999</v>
      </c>
      <c r="L7">
        <v>0.27948699999999999</v>
      </c>
      <c r="M7">
        <v>0.54693899999999995</v>
      </c>
      <c r="N7">
        <v>1.09867</v>
      </c>
      <c r="O7">
        <v>2.1857199999999999</v>
      </c>
      <c r="P7">
        <v>4.3584100000000001</v>
      </c>
      <c r="Q7">
        <v>1.0040500000000001E-2</v>
      </c>
      <c r="R7">
        <v>9.1833000000000001E-3</v>
      </c>
      <c r="S7">
        <v>9.1850000000000005E-3</v>
      </c>
      <c r="T7">
        <v>9.3781999999999997E-3</v>
      </c>
      <c r="U7">
        <v>9.9770999999999992E-3</v>
      </c>
      <c r="V7">
        <v>1.1679999999999999E-2</v>
      </c>
      <c r="W7">
        <v>1.54821E-2</v>
      </c>
      <c r="X7">
        <v>2.4283200000000001E-2</v>
      </c>
      <c r="Y7">
        <v>4.16348E-2</v>
      </c>
      <c r="Z7">
        <v>7.5977199999999995E-2</v>
      </c>
      <c r="AA7">
        <v>0.145426</v>
      </c>
      <c r="AB7">
        <v>0.28370600000000001</v>
      </c>
      <c r="AC7">
        <v>0.56031500000000001</v>
      </c>
      <c r="AD7">
        <v>1.1298299999999999</v>
      </c>
      <c r="AE7">
        <v>2.2517299999999998</v>
      </c>
      <c r="AF7">
        <v>4.49566</v>
      </c>
    </row>
    <row r="8" spans="1:32" x14ac:dyDescent="0.25">
      <c r="A8">
        <v>1.3302100000000001E-2</v>
      </c>
      <c r="B8">
        <v>1.31536E-2</v>
      </c>
      <c r="C8">
        <v>1.26304E-2</v>
      </c>
      <c r="D8">
        <v>1.35567E-2</v>
      </c>
      <c r="E8">
        <v>1.3471500000000001E-2</v>
      </c>
      <c r="F8">
        <v>1.54872E-2</v>
      </c>
      <c r="G8">
        <v>1.9248600000000001E-2</v>
      </c>
      <c r="H8">
        <v>2.7406799999999999E-2</v>
      </c>
      <c r="I8">
        <v>4.4021100000000001E-2</v>
      </c>
      <c r="J8">
        <v>7.8198199999999995E-2</v>
      </c>
      <c r="K8">
        <v>0.144952</v>
      </c>
      <c r="L8">
        <v>0.279227</v>
      </c>
      <c r="M8">
        <v>0.547126</v>
      </c>
      <c r="N8">
        <v>1.09863</v>
      </c>
      <c r="O8">
        <v>2.1856399999999998</v>
      </c>
      <c r="P8">
        <v>4.3605999999999998</v>
      </c>
      <c r="Q8">
        <v>1.01981E-2</v>
      </c>
      <c r="R8">
        <v>9.0258999999999999E-3</v>
      </c>
      <c r="S8">
        <v>9.2663999999999993E-3</v>
      </c>
      <c r="T8">
        <v>9.2995000000000005E-3</v>
      </c>
      <c r="U8">
        <v>9.7871999999999994E-3</v>
      </c>
      <c r="V8">
        <v>1.1710399999999999E-2</v>
      </c>
      <c r="W8">
        <v>1.5445E-2</v>
      </c>
      <c r="X8">
        <v>2.4213800000000001E-2</v>
      </c>
      <c r="Y8">
        <v>4.1600100000000001E-2</v>
      </c>
      <c r="Z8">
        <v>7.6149400000000006E-2</v>
      </c>
      <c r="AA8">
        <v>0.145284</v>
      </c>
      <c r="AB8">
        <v>0.284022</v>
      </c>
      <c r="AC8">
        <v>0.56046300000000004</v>
      </c>
      <c r="AD8">
        <v>1.12967</v>
      </c>
      <c r="AE8">
        <v>2.2516500000000002</v>
      </c>
      <c r="AF8">
        <v>4.4954599999999996</v>
      </c>
    </row>
    <row r="9" spans="1:32" x14ac:dyDescent="0.25">
      <c r="A9">
        <v>1.27422E-2</v>
      </c>
      <c r="B9">
        <v>1.2976100000000001E-2</v>
      </c>
      <c r="C9">
        <v>1.2882899999999999E-2</v>
      </c>
      <c r="D9">
        <v>1.3325500000000001E-2</v>
      </c>
      <c r="E9">
        <v>1.33864E-2</v>
      </c>
      <c r="F9">
        <v>1.5140000000000001E-2</v>
      </c>
      <c r="G9">
        <v>1.9031699999999999E-2</v>
      </c>
      <c r="H9">
        <v>2.7179999999999999E-2</v>
      </c>
      <c r="I9">
        <v>4.403E-2</v>
      </c>
      <c r="J9">
        <v>7.9194799999999996E-2</v>
      </c>
      <c r="K9">
        <v>0.14541399999999999</v>
      </c>
      <c r="L9">
        <v>0.27904699999999999</v>
      </c>
      <c r="M9">
        <v>0.54673000000000005</v>
      </c>
      <c r="N9">
        <v>1.0987199999999999</v>
      </c>
      <c r="O9">
        <v>2.1855199999999999</v>
      </c>
      <c r="P9">
        <v>4.3606299999999996</v>
      </c>
      <c r="Q9">
        <v>1.0455300000000001E-2</v>
      </c>
      <c r="R9">
        <v>9.1781999999999992E-3</v>
      </c>
      <c r="S9">
        <v>9.1248000000000006E-3</v>
      </c>
      <c r="T9">
        <v>9.2972000000000003E-3</v>
      </c>
      <c r="U9">
        <v>9.9847000000000009E-3</v>
      </c>
      <c r="V9">
        <v>1.14926E-2</v>
      </c>
      <c r="W9">
        <v>1.5516500000000001E-2</v>
      </c>
      <c r="X9">
        <v>2.3967200000000001E-2</v>
      </c>
      <c r="Y9">
        <v>4.1432400000000001E-2</v>
      </c>
      <c r="Z9">
        <v>7.6053099999999998E-2</v>
      </c>
      <c r="AA9">
        <v>0.14555499999999999</v>
      </c>
      <c r="AB9">
        <v>0.28355000000000002</v>
      </c>
      <c r="AC9">
        <v>0.56074100000000004</v>
      </c>
      <c r="AD9">
        <v>1.1296299999999999</v>
      </c>
      <c r="AE9">
        <v>2.2515000000000001</v>
      </c>
      <c r="AF9">
        <v>4.4956699999999996</v>
      </c>
    </row>
    <row r="10" spans="1:32" x14ac:dyDescent="0.25">
      <c r="A10">
        <v>1.2793499999999999E-2</v>
      </c>
      <c r="B10">
        <v>1.2902200000000001E-2</v>
      </c>
      <c r="C10">
        <v>1.3120400000000001E-2</v>
      </c>
      <c r="D10">
        <v>1.30078E-2</v>
      </c>
      <c r="E10">
        <v>1.3205400000000001E-2</v>
      </c>
      <c r="F10">
        <v>1.48567E-2</v>
      </c>
      <c r="G10">
        <v>1.9028300000000001E-2</v>
      </c>
      <c r="H10">
        <v>2.8583500000000001E-2</v>
      </c>
      <c r="I10">
        <v>4.4060799999999997E-2</v>
      </c>
      <c r="J10">
        <v>7.7801999999999996E-2</v>
      </c>
      <c r="K10">
        <v>0.14544199999999999</v>
      </c>
      <c r="L10">
        <v>0.27943499999999999</v>
      </c>
      <c r="M10">
        <v>0.54666899999999996</v>
      </c>
      <c r="N10">
        <v>1.0986499999999999</v>
      </c>
      <c r="O10">
        <v>2.1859199999999999</v>
      </c>
      <c r="P10">
        <v>4.3604399999999996</v>
      </c>
      <c r="Q10">
        <v>1.0223899999999999E-2</v>
      </c>
      <c r="R10">
        <v>9.0399E-3</v>
      </c>
      <c r="S10">
        <v>8.9926999999999993E-3</v>
      </c>
      <c r="T10">
        <v>9.3401000000000005E-3</v>
      </c>
      <c r="U10">
        <v>9.7651000000000005E-3</v>
      </c>
      <c r="V10">
        <v>1.14229E-2</v>
      </c>
      <c r="W10">
        <v>1.53867E-2</v>
      </c>
      <c r="X10">
        <v>2.4025899999999999E-2</v>
      </c>
      <c r="Y10">
        <v>4.8272500000000003E-2</v>
      </c>
      <c r="Z10">
        <v>7.6381400000000002E-2</v>
      </c>
      <c r="AA10">
        <v>0.14544899999999999</v>
      </c>
      <c r="AB10">
        <v>0.28356599999999998</v>
      </c>
      <c r="AC10">
        <v>0.56049000000000004</v>
      </c>
      <c r="AD10">
        <v>1.1297299999999999</v>
      </c>
      <c r="AE10">
        <v>2.25102</v>
      </c>
      <c r="AF10">
        <v>4.4955699999999998</v>
      </c>
    </row>
    <row r="11" spans="1:32" x14ac:dyDescent="0.25">
      <c r="A11">
        <v>1.2492E-2</v>
      </c>
      <c r="B11">
        <v>1.27606E-2</v>
      </c>
      <c r="C11">
        <v>1.2607800000000001E-2</v>
      </c>
      <c r="D11">
        <v>1.2962599999999999E-2</v>
      </c>
      <c r="E11">
        <v>1.31252E-2</v>
      </c>
      <c r="F11">
        <v>1.48863E-2</v>
      </c>
      <c r="G11">
        <v>1.88795E-2</v>
      </c>
      <c r="H11">
        <v>2.78242E-2</v>
      </c>
      <c r="I11">
        <v>4.4489599999999997E-2</v>
      </c>
      <c r="J11">
        <v>7.8072799999999998E-2</v>
      </c>
      <c r="K11">
        <v>0.14530999999999999</v>
      </c>
      <c r="L11">
        <v>0.279362</v>
      </c>
      <c r="M11">
        <v>0.54714200000000002</v>
      </c>
      <c r="N11">
        <v>1.09884</v>
      </c>
      <c r="O11">
        <v>2.18587</v>
      </c>
      <c r="P11">
        <v>4.3604599999999998</v>
      </c>
      <c r="Q11">
        <v>1.0047499999999999E-2</v>
      </c>
      <c r="R11">
        <v>8.9858999999999998E-3</v>
      </c>
      <c r="S11">
        <v>9.1144999999999993E-3</v>
      </c>
      <c r="T11">
        <v>9.2765999999999994E-3</v>
      </c>
      <c r="U11">
        <v>9.7377000000000002E-3</v>
      </c>
      <c r="V11">
        <v>1.1421799999999999E-2</v>
      </c>
      <c r="W11">
        <v>1.5614100000000001E-2</v>
      </c>
      <c r="X11">
        <v>2.4062900000000002E-2</v>
      </c>
      <c r="Y11">
        <v>4.18672E-2</v>
      </c>
      <c r="Z11">
        <v>7.6127899999999998E-2</v>
      </c>
      <c r="AA11">
        <v>0.145431</v>
      </c>
      <c r="AB11">
        <v>0.28366000000000002</v>
      </c>
      <c r="AC11">
        <v>0.56046600000000002</v>
      </c>
      <c r="AD11">
        <v>1.12971</v>
      </c>
      <c r="AE11">
        <v>2.2516400000000001</v>
      </c>
      <c r="AF11">
        <v>4.49594</v>
      </c>
    </row>
    <row r="12" spans="1:32" x14ac:dyDescent="0.25">
      <c r="A12">
        <v>1.2778400000000001E-2</v>
      </c>
      <c r="B12">
        <v>1.26351E-2</v>
      </c>
      <c r="C12">
        <v>1.33933E-2</v>
      </c>
      <c r="D12">
        <v>1.3136699999999999E-2</v>
      </c>
      <c r="E12">
        <v>1.3519099999999999E-2</v>
      </c>
      <c r="F12">
        <v>1.5142600000000001E-2</v>
      </c>
      <c r="G12">
        <v>1.9420300000000001E-2</v>
      </c>
      <c r="H12">
        <v>2.7430300000000001E-2</v>
      </c>
      <c r="I12">
        <v>4.4267500000000001E-2</v>
      </c>
      <c r="J12">
        <v>7.7803300000000006E-2</v>
      </c>
      <c r="K12">
        <v>0.145783</v>
      </c>
      <c r="L12">
        <v>0.27966200000000002</v>
      </c>
      <c r="M12">
        <v>0.54732199999999998</v>
      </c>
      <c r="N12">
        <v>1.0989800000000001</v>
      </c>
      <c r="O12">
        <v>2.1861899999999999</v>
      </c>
      <c r="P12">
        <v>4.3600000000000003</v>
      </c>
      <c r="Q12">
        <v>9.9880999999999998E-3</v>
      </c>
      <c r="R12">
        <v>9.0550000000000005E-3</v>
      </c>
      <c r="S12">
        <v>9.1061000000000007E-3</v>
      </c>
      <c r="T12">
        <v>9.2514999999999993E-3</v>
      </c>
      <c r="U12">
        <v>9.9387E-3</v>
      </c>
      <c r="V12">
        <v>1.17289E-2</v>
      </c>
      <c r="W12">
        <v>1.5463299999999999E-2</v>
      </c>
      <c r="X12">
        <v>2.3992400000000001E-2</v>
      </c>
      <c r="Y12">
        <v>4.1548500000000002E-2</v>
      </c>
      <c r="Z12">
        <v>7.5988299999999995E-2</v>
      </c>
      <c r="AA12">
        <v>0.14496100000000001</v>
      </c>
      <c r="AB12">
        <v>0.28379900000000002</v>
      </c>
      <c r="AC12">
        <v>0.56045400000000001</v>
      </c>
      <c r="AD12">
        <v>1.12965</v>
      </c>
      <c r="AE12">
        <v>2.25163</v>
      </c>
      <c r="AF12">
        <v>4.4958</v>
      </c>
    </row>
    <row r="13" spans="1:32" x14ac:dyDescent="0.25">
      <c r="A13">
        <v>1.3289E-2</v>
      </c>
      <c r="B13">
        <v>1.3108699999999999E-2</v>
      </c>
      <c r="C13">
        <v>1.28904E-2</v>
      </c>
      <c r="D13">
        <v>1.29546E-2</v>
      </c>
      <c r="E13">
        <v>1.34444E-2</v>
      </c>
      <c r="F13">
        <v>1.8335799999999999E-2</v>
      </c>
      <c r="G13">
        <v>1.9430200000000002E-2</v>
      </c>
      <c r="H13">
        <v>2.7854799999999999E-2</v>
      </c>
      <c r="I13">
        <v>4.47508E-2</v>
      </c>
      <c r="J13">
        <v>7.8311599999999995E-2</v>
      </c>
      <c r="K13">
        <v>0.14533399999999999</v>
      </c>
      <c r="L13">
        <v>0.27952700000000003</v>
      </c>
      <c r="M13">
        <v>0.54735800000000001</v>
      </c>
      <c r="N13">
        <v>1.09903</v>
      </c>
      <c r="O13">
        <v>2.18628</v>
      </c>
      <c r="P13">
        <v>4.3606400000000001</v>
      </c>
      <c r="Q13">
        <v>1.0064699999999999E-2</v>
      </c>
      <c r="R13">
        <v>9.2338000000000003E-3</v>
      </c>
      <c r="S13">
        <v>9.4657999999999999E-3</v>
      </c>
      <c r="T13">
        <v>9.4356000000000006E-3</v>
      </c>
      <c r="U13">
        <v>9.9977999999999994E-3</v>
      </c>
      <c r="V13">
        <v>1.15605E-2</v>
      </c>
      <c r="W13">
        <v>1.5550899999999999E-2</v>
      </c>
      <c r="X13">
        <v>2.4042500000000001E-2</v>
      </c>
      <c r="Y13">
        <v>4.1456800000000002E-2</v>
      </c>
      <c r="Z13">
        <v>7.6363100000000003E-2</v>
      </c>
      <c r="AA13">
        <v>0.14546600000000001</v>
      </c>
      <c r="AB13">
        <v>0.28346399999999999</v>
      </c>
      <c r="AC13">
        <v>0.56031299999999995</v>
      </c>
      <c r="AD13">
        <v>1.1297699999999999</v>
      </c>
      <c r="AE13">
        <v>2.2517399999999999</v>
      </c>
      <c r="AF13">
        <v>4.4960800000000001</v>
      </c>
    </row>
    <row r="14" spans="1:32" x14ac:dyDescent="0.25">
      <c r="A14">
        <v>1.31842E-2</v>
      </c>
      <c r="B14">
        <v>1.29363E-2</v>
      </c>
      <c r="C14">
        <v>1.3321599999999999E-2</v>
      </c>
      <c r="D14">
        <v>1.2821300000000001E-2</v>
      </c>
      <c r="E14">
        <v>1.36353E-2</v>
      </c>
      <c r="F14">
        <v>1.5888800000000002E-2</v>
      </c>
      <c r="G14">
        <v>1.9018799999999999E-2</v>
      </c>
      <c r="H14">
        <v>2.7288099999999999E-2</v>
      </c>
      <c r="I14">
        <v>4.4208400000000002E-2</v>
      </c>
      <c r="J14">
        <v>7.7835699999999994E-2</v>
      </c>
      <c r="K14">
        <v>0.144982</v>
      </c>
      <c r="L14">
        <v>0.28021000000000001</v>
      </c>
      <c r="M14">
        <v>0.54705099999999995</v>
      </c>
      <c r="N14">
        <v>1.09843</v>
      </c>
      <c r="O14">
        <v>2.18391</v>
      </c>
      <c r="P14">
        <v>4.3602100000000004</v>
      </c>
      <c r="Q14">
        <v>9.9255999999999997E-3</v>
      </c>
      <c r="R14">
        <v>9.0938000000000008E-3</v>
      </c>
      <c r="S14">
        <v>9.1485999999999998E-3</v>
      </c>
      <c r="T14">
        <v>9.4105999999999999E-3</v>
      </c>
      <c r="U14">
        <v>9.8691999999999998E-3</v>
      </c>
      <c r="V14">
        <v>1.16758E-2</v>
      </c>
      <c r="W14">
        <v>1.53697E-2</v>
      </c>
      <c r="X14">
        <v>2.4254100000000001E-2</v>
      </c>
      <c r="Y14">
        <v>4.1939200000000003E-2</v>
      </c>
      <c r="Z14">
        <v>7.5942700000000002E-2</v>
      </c>
      <c r="AA14">
        <v>0.145453</v>
      </c>
      <c r="AB14">
        <v>0.28363100000000002</v>
      </c>
      <c r="AC14">
        <v>0.560334</v>
      </c>
      <c r="AD14">
        <v>1.1298600000000001</v>
      </c>
      <c r="AE14">
        <v>2.2514099999999999</v>
      </c>
      <c r="AF14">
        <v>4.4954900000000002</v>
      </c>
    </row>
    <row r="15" spans="1:32" x14ac:dyDescent="0.25">
      <c r="A15">
        <v>1.30785E-2</v>
      </c>
      <c r="B15">
        <v>1.28792E-2</v>
      </c>
      <c r="C15">
        <v>1.26407E-2</v>
      </c>
      <c r="D15">
        <v>1.36309E-2</v>
      </c>
      <c r="E15">
        <v>1.37927E-2</v>
      </c>
      <c r="F15">
        <v>1.57254E-2</v>
      </c>
      <c r="G15">
        <v>1.9186399999999999E-2</v>
      </c>
      <c r="H15">
        <v>2.7606700000000001E-2</v>
      </c>
      <c r="I15">
        <v>4.4150000000000002E-2</v>
      </c>
      <c r="J15">
        <v>7.7985799999999994E-2</v>
      </c>
      <c r="K15">
        <v>0.14492099999999999</v>
      </c>
      <c r="L15">
        <v>0.278692</v>
      </c>
      <c r="M15">
        <v>0.54695400000000005</v>
      </c>
      <c r="N15">
        <v>1.0986100000000001</v>
      </c>
      <c r="O15">
        <v>2.1861600000000001</v>
      </c>
      <c r="P15">
        <v>4.3584199999999997</v>
      </c>
      <c r="Q15">
        <v>9.8855999999999996E-3</v>
      </c>
      <c r="R15">
        <v>8.9709999999999998E-3</v>
      </c>
      <c r="S15">
        <v>9.1298999999999998E-3</v>
      </c>
      <c r="T15">
        <v>9.2762000000000001E-3</v>
      </c>
      <c r="U15">
        <v>9.8031000000000004E-3</v>
      </c>
      <c r="V15">
        <v>1.17118E-2</v>
      </c>
      <c r="W15">
        <v>1.6019100000000001E-2</v>
      </c>
      <c r="X15">
        <v>2.39902E-2</v>
      </c>
      <c r="Y15">
        <v>4.1891999999999999E-2</v>
      </c>
      <c r="Z15">
        <v>7.6472399999999996E-2</v>
      </c>
      <c r="AA15">
        <v>0.14534</v>
      </c>
      <c r="AB15">
        <v>0.28361199999999998</v>
      </c>
      <c r="AC15">
        <v>0.56043399999999999</v>
      </c>
      <c r="AD15">
        <v>1.1299399999999999</v>
      </c>
      <c r="AE15">
        <v>2.2519499999999999</v>
      </c>
      <c r="AF15">
        <v>4.4949399999999997</v>
      </c>
    </row>
    <row r="16" spans="1:32" x14ac:dyDescent="0.25">
      <c r="A16">
        <v>1.2882299999999999E-2</v>
      </c>
      <c r="B16">
        <v>1.3090900000000001E-2</v>
      </c>
      <c r="C16">
        <v>1.28238E-2</v>
      </c>
      <c r="D16">
        <v>1.29087E-2</v>
      </c>
      <c r="E16">
        <v>1.3525499999999999E-2</v>
      </c>
      <c r="F16">
        <v>1.5108E-2</v>
      </c>
      <c r="G16">
        <v>1.8961800000000001E-2</v>
      </c>
      <c r="H16">
        <v>2.7592499999999999E-2</v>
      </c>
      <c r="I16">
        <v>4.4445100000000001E-2</v>
      </c>
      <c r="J16">
        <v>7.8200400000000003E-2</v>
      </c>
      <c r="K16">
        <v>0.14550299999999999</v>
      </c>
      <c r="L16">
        <v>0.27930300000000002</v>
      </c>
      <c r="M16">
        <v>0.54708999999999997</v>
      </c>
      <c r="N16">
        <v>1.09883</v>
      </c>
      <c r="O16">
        <v>2.1859500000000001</v>
      </c>
      <c r="P16">
        <v>4.3596399999999997</v>
      </c>
      <c r="Q16">
        <v>9.8393999999999999E-3</v>
      </c>
      <c r="R16">
        <v>8.8540000000000008E-3</v>
      </c>
      <c r="S16">
        <v>9.3887999999999992E-3</v>
      </c>
      <c r="T16">
        <v>9.4278999999999995E-3</v>
      </c>
      <c r="U16">
        <v>9.8276000000000006E-3</v>
      </c>
      <c r="V16">
        <v>1.1755699999999999E-2</v>
      </c>
      <c r="W16">
        <v>1.5789399999999999E-2</v>
      </c>
      <c r="X16">
        <v>2.4601700000000001E-2</v>
      </c>
      <c r="Y16">
        <v>4.1582399999999999E-2</v>
      </c>
      <c r="Z16">
        <v>7.6324699999999995E-2</v>
      </c>
      <c r="AA16">
        <v>0.14546400000000001</v>
      </c>
      <c r="AB16">
        <v>0.28367900000000001</v>
      </c>
      <c r="AC16">
        <v>0.56036699999999995</v>
      </c>
      <c r="AD16">
        <v>1.1297699999999999</v>
      </c>
      <c r="AE16">
        <v>2.2518199999999999</v>
      </c>
      <c r="AF16">
        <v>4.49451</v>
      </c>
    </row>
    <row r="17" spans="1:32" x14ac:dyDescent="0.25">
      <c r="A17">
        <v>1.27286E-2</v>
      </c>
      <c r="B17">
        <v>1.25752E-2</v>
      </c>
      <c r="C17">
        <v>1.32377E-2</v>
      </c>
      <c r="D17">
        <v>1.3115699999999999E-2</v>
      </c>
      <c r="E17">
        <v>1.32683E-2</v>
      </c>
      <c r="F17">
        <v>1.5518199999999999E-2</v>
      </c>
      <c r="G17">
        <v>1.8869400000000001E-2</v>
      </c>
      <c r="H17">
        <v>2.72213E-2</v>
      </c>
      <c r="I17">
        <v>4.3851800000000003E-2</v>
      </c>
      <c r="J17">
        <v>7.7780500000000002E-2</v>
      </c>
      <c r="K17">
        <v>0.14540600000000001</v>
      </c>
      <c r="L17">
        <v>0.27951100000000001</v>
      </c>
      <c r="M17">
        <v>0.54680399999999996</v>
      </c>
      <c r="N17">
        <v>1.0987499999999999</v>
      </c>
      <c r="O17">
        <v>2.1856399999999998</v>
      </c>
      <c r="P17">
        <v>4.36008</v>
      </c>
      <c r="Q17">
        <v>1.01203E-2</v>
      </c>
      <c r="R17">
        <v>9.0842000000000006E-3</v>
      </c>
      <c r="S17">
        <v>9.4342000000000002E-3</v>
      </c>
      <c r="T17">
        <v>9.3284000000000006E-3</v>
      </c>
      <c r="U17">
        <v>1.00322E-2</v>
      </c>
      <c r="V17">
        <v>1.1542699999999999E-2</v>
      </c>
      <c r="W17">
        <v>1.5908200000000001E-2</v>
      </c>
      <c r="X17">
        <v>2.4371400000000001E-2</v>
      </c>
      <c r="Y17">
        <v>4.1724999999999998E-2</v>
      </c>
      <c r="Z17">
        <v>7.6495300000000002E-2</v>
      </c>
      <c r="AA17">
        <v>0.14549999999999999</v>
      </c>
      <c r="AB17">
        <v>0.283447</v>
      </c>
      <c r="AC17">
        <v>0.56015599999999999</v>
      </c>
      <c r="AD17">
        <v>1.1297600000000001</v>
      </c>
      <c r="AE17">
        <v>2.2517200000000002</v>
      </c>
      <c r="AF17">
        <v>4.4956500000000004</v>
      </c>
    </row>
    <row r="18" spans="1:32" x14ac:dyDescent="0.25">
      <c r="A18">
        <v>1.3404599999999999E-2</v>
      </c>
      <c r="B18">
        <v>1.31682E-2</v>
      </c>
      <c r="C18">
        <v>1.30192E-2</v>
      </c>
      <c r="D18">
        <v>1.33162E-2</v>
      </c>
      <c r="E18">
        <v>1.37059E-2</v>
      </c>
      <c r="F18">
        <v>1.5866600000000002E-2</v>
      </c>
      <c r="G18">
        <v>1.9559099999999999E-2</v>
      </c>
      <c r="H18">
        <v>2.7161899999999999E-2</v>
      </c>
      <c r="I18">
        <v>4.4262200000000002E-2</v>
      </c>
      <c r="J18">
        <v>7.7975900000000001E-2</v>
      </c>
      <c r="K18">
        <v>0.14518400000000001</v>
      </c>
      <c r="L18">
        <v>0.27916299999999999</v>
      </c>
      <c r="M18">
        <v>0.54708299999999999</v>
      </c>
      <c r="N18">
        <v>1.0987</v>
      </c>
      <c r="O18">
        <v>2.18574</v>
      </c>
      <c r="P18">
        <v>4.3600500000000002</v>
      </c>
      <c r="Q18">
        <v>9.8698999999999992E-3</v>
      </c>
      <c r="R18">
        <v>9.5569000000000001E-3</v>
      </c>
      <c r="S18">
        <v>9.0785999999999992E-3</v>
      </c>
      <c r="T18">
        <v>9.3927000000000004E-3</v>
      </c>
      <c r="U18">
        <v>9.7672000000000002E-3</v>
      </c>
      <c r="V18">
        <v>1.1846799999999999E-2</v>
      </c>
      <c r="W18">
        <v>1.5552E-2</v>
      </c>
      <c r="X18">
        <v>2.4387599999999999E-2</v>
      </c>
      <c r="Y18">
        <v>4.1835999999999998E-2</v>
      </c>
      <c r="Z18">
        <v>7.6350100000000004E-2</v>
      </c>
      <c r="AA18">
        <v>0.14535300000000001</v>
      </c>
      <c r="AB18">
        <v>0.28340500000000002</v>
      </c>
      <c r="AC18">
        <v>0.56049099999999996</v>
      </c>
      <c r="AD18">
        <v>1.1297600000000001</v>
      </c>
      <c r="AE18">
        <v>2.2518500000000001</v>
      </c>
      <c r="AF18">
        <v>4.4957799999999999</v>
      </c>
    </row>
    <row r="19" spans="1:32" x14ac:dyDescent="0.25">
      <c r="A19">
        <v>1.2603400000000001E-2</v>
      </c>
      <c r="B19">
        <v>1.2908899999999999E-2</v>
      </c>
      <c r="C19">
        <v>1.30256E-2</v>
      </c>
      <c r="D19">
        <v>1.3288700000000001E-2</v>
      </c>
      <c r="E19">
        <v>1.37567E-2</v>
      </c>
      <c r="F19">
        <v>1.5784200000000002E-2</v>
      </c>
      <c r="G19">
        <v>1.91763E-2</v>
      </c>
      <c r="H19">
        <v>2.7550100000000001E-2</v>
      </c>
      <c r="I19">
        <v>4.43577E-2</v>
      </c>
      <c r="J19">
        <v>7.79334E-2</v>
      </c>
      <c r="K19">
        <v>0.14518</v>
      </c>
      <c r="L19">
        <v>0.27882200000000001</v>
      </c>
      <c r="M19">
        <v>0.54703100000000004</v>
      </c>
      <c r="N19">
        <v>1.0987499999999999</v>
      </c>
      <c r="O19">
        <v>2.1861700000000002</v>
      </c>
      <c r="P19">
        <v>4.35928</v>
      </c>
      <c r="Q19">
        <v>1.1223500000000001E-2</v>
      </c>
      <c r="R19">
        <v>9.1345999999999997E-3</v>
      </c>
      <c r="S19">
        <v>9.0790999999999997E-3</v>
      </c>
      <c r="T19">
        <v>9.3148999999999992E-3</v>
      </c>
      <c r="U19">
        <v>9.9103000000000004E-3</v>
      </c>
      <c r="V19">
        <v>1.16285E-2</v>
      </c>
      <c r="W19">
        <v>1.5500399999999999E-2</v>
      </c>
      <c r="X19">
        <v>2.4091100000000001E-2</v>
      </c>
      <c r="Y19">
        <v>4.1600100000000001E-2</v>
      </c>
      <c r="Z19">
        <v>7.6532199999999995E-2</v>
      </c>
      <c r="AA19">
        <v>0.14554300000000001</v>
      </c>
      <c r="AB19">
        <v>0.28371800000000003</v>
      </c>
      <c r="AC19">
        <v>0.56015000000000004</v>
      </c>
      <c r="AD19">
        <v>1.12971</v>
      </c>
      <c r="AE19">
        <v>2.2517499999999999</v>
      </c>
      <c r="AF19">
        <v>4.4957099999999999</v>
      </c>
    </row>
    <row r="20" spans="1:32" x14ac:dyDescent="0.25">
      <c r="A20">
        <v>1.32348E-2</v>
      </c>
      <c r="B20">
        <v>1.2816900000000001E-2</v>
      </c>
      <c r="C20">
        <v>1.32468E-2</v>
      </c>
      <c r="D20">
        <v>1.2809900000000001E-2</v>
      </c>
      <c r="E20">
        <v>1.33718E-2</v>
      </c>
      <c r="F20">
        <v>1.5118400000000001E-2</v>
      </c>
      <c r="G20">
        <v>1.9078500000000002E-2</v>
      </c>
      <c r="H20">
        <v>2.7536600000000001E-2</v>
      </c>
      <c r="I20">
        <v>4.48222E-2</v>
      </c>
      <c r="J20">
        <v>7.7636499999999997E-2</v>
      </c>
      <c r="K20">
        <v>0.14496700000000001</v>
      </c>
      <c r="L20">
        <v>0.27862399999999998</v>
      </c>
      <c r="M20">
        <v>0.54784100000000002</v>
      </c>
      <c r="N20">
        <v>1.09887</v>
      </c>
      <c r="O20">
        <v>2.1861000000000002</v>
      </c>
      <c r="P20">
        <v>4.36015</v>
      </c>
      <c r="Q20">
        <v>9.5125999999999995E-3</v>
      </c>
      <c r="R20">
        <v>9.2499000000000001E-3</v>
      </c>
      <c r="S20">
        <v>9.3673999999999997E-3</v>
      </c>
      <c r="T20">
        <v>9.1891999999999998E-3</v>
      </c>
      <c r="U20">
        <v>9.8016000000000006E-3</v>
      </c>
      <c r="V20">
        <v>1.18093E-2</v>
      </c>
      <c r="W20">
        <v>1.5708900000000001E-2</v>
      </c>
      <c r="X20">
        <v>2.4292299999999999E-2</v>
      </c>
      <c r="Y20">
        <v>4.1662200000000003E-2</v>
      </c>
      <c r="Z20">
        <v>7.6118199999999997E-2</v>
      </c>
      <c r="AA20">
        <v>0.145455</v>
      </c>
      <c r="AB20">
        <v>0.28378500000000001</v>
      </c>
      <c r="AC20">
        <v>0.56010300000000002</v>
      </c>
      <c r="AD20">
        <v>1.12974</v>
      </c>
      <c r="AE20">
        <v>2.2519</v>
      </c>
      <c r="AF20">
        <v>4.4956199999999997</v>
      </c>
    </row>
    <row r="21" spans="1:32" x14ac:dyDescent="0.25">
      <c r="A21">
        <v>1.2815200000000001E-2</v>
      </c>
      <c r="B21">
        <v>1.29008E-2</v>
      </c>
      <c r="C21">
        <v>1.31553E-2</v>
      </c>
      <c r="D21">
        <v>1.3416900000000001E-2</v>
      </c>
      <c r="E21">
        <v>1.3129500000000001E-2</v>
      </c>
      <c r="F21">
        <v>1.5136699999999999E-2</v>
      </c>
      <c r="G21">
        <v>1.8946299999999999E-2</v>
      </c>
      <c r="H21">
        <v>2.8045400000000002E-2</v>
      </c>
      <c r="I21">
        <v>4.4499400000000001E-2</v>
      </c>
      <c r="J21">
        <v>7.8231599999999998E-2</v>
      </c>
      <c r="K21">
        <v>0.145148</v>
      </c>
      <c r="L21">
        <v>0.27928700000000001</v>
      </c>
      <c r="M21">
        <v>0.54686000000000001</v>
      </c>
      <c r="N21">
        <v>1.09846</v>
      </c>
      <c r="O21">
        <v>2.1860200000000001</v>
      </c>
      <c r="P21">
        <v>4.3578099999999997</v>
      </c>
      <c r="Q21">
        <v>9.3776999999999992E-3</v>
      </c>
      <c r="R21">
        <v>9.0328000000000006E-3</v>
      </c>
      <c r="S21">
        <v>9.4699999999999993E-3</v>
      </c>
      <c r="T21">
        <v>9.3048999999999996E-3</v>
      </c>
      <c r="U21">
        <v>9.8326000000000004E-3</v>
      </c>
      <c r="V21">
        <v>1.1486700000000001E-2</v>
      </c>
      <c r="W21">
        <v>1.54605E-2</v>
      </c>
      <c r="X21">
        <v>2.3982900000000001E-2</v>
      </c>
      <c r="Y21">
        <v>4.1572600000000001E-2</v>
      </c>
      <c r="Z21">
        <v>7.6194999999999999E-2</v>
      </c>
      <c r="AA21">
        <v>0.14557200000000001</v>
      </c>
      <c r="AB21">
        <v>0.28360400000000002</v>
      </c>
      <c r="AC21">
        <v>0.56040999999999996</v>
      </c>
      <c r="AD21">
        <v>1.1294900000000001</v>
      </c>
      <c r="AE21">
        <v>2.25163</v>
      </c>
      <c r="AF21">
        <v>4.4961900000000004</v>
      </c>
    </row>
    <row r="22" spans="1:32" x14ac:dyDescent="0.25">
      <c r="A22">
        <v>1.28427E-2</v>
      </c>
      <c r="B22">
        <v>1.28576E-2</v>
      </c>
      <c r="C22">
        <v>1.2919E-2</v>
      </c>
      <c r="D22">
        <v>1.31818E-2</v>
      </c>
      <c r="E22">
        <v>1.33756E-2</v>
      </c>
      <c r="F22">
        <v>1.51708E-2</v>
      </c>
      <c r="G22">
        <v>1.8749499999999999E-2</v>
      </c>
      <c r="H22">
        <v>2.7635E-2</v>
      </c>
      <c r="I22">
        <v>4.4102299999999997E-2</v>
      </c>
      <c r="J22">
        <v>7.8015899999999999E-2</v>
      </c>
      <c r="K22">
        <v>0.145148</v>
      </c>
      <c r="L22">
        <v>0.27880199999999999</v>
      </c>
      <c r="M22">
        <v>0.54724200000000001</v>
      </c>
      <c r="N22">
        <v>1.09893</v>
      </c>
      <c r="O22">
        <v>2.1860400000000002</v>
      </c>
      <c r="P22">
        <v>4.3599199999999998</v>
      </c>
      <c r="Q22">
        <v>9.4899000000000008E-3</v>
      </c>
      <c r="R22">
        <v>8.8716000000000003E-3</v>
      </c>
      <c r="S22">
        <v>9.5776000000000003E-3</v>
      </c>
      <c r="T22">
        <v>9.2584999999999994E-3</v>
      </c>
      <c r="U22">
        <v>9.6278000000000006E-3</v>
      </c>
      <c r="V22">
        <v>1.15257E-2</v>
      </c>
      <c r="W22">
        <v>1.53843E-2</v>
      </c>
      <c r="X22">
        <v>2.41929E-2</v>
      </c>
      <c r="Y22">
        <v>4.1628900000000003E-2</v>
      </c>
      <c r="Z22">
        <v>7.6116500000000004E-2</v>
      </c>
      <c r="AA22">
        <v>0.14563799999999999</v>
      </c>
      <c r="AB22">
        <v>0.28390100000000001</v>
      </c>
      <c r="AC22">
        <v>0.56060500000000002</v>
      </c>
      <c r="AD22">
        <v>1.12951</v>
      </c>
      <c r="AE22">
        <v>2.2516400000000001</v>
      </c>
      <c r="AF22">
        <v>4.4959199999999999</v>
      </c>
    </row>
    <row r="23" spans="1:32" x14ac:dyDescent="0.25">
      <c r="A23">
        <v>1.31246E-2</v>
      </c>
      <c r="B23">
        <v>1.3055600000000001E-2</v>
      </c>
      <c r="C23">
        <v>1.27431E-2</v>
      </c>
      <c r="D23">
        <v>1.30831E-2</v>
      </c>
      <c r="E23">
        <v>1.33898E-2</v>
      </c>
      <c r="F23">
        <v>1.51875E-2</v>
      </c>
      <c r="G23">
        <v>1.88855E-2</v>
      </c>
      <c r="H23">
        <v>2.74141E-2</v>
      </c>
      <c r="I23">
        <v>4.4380799999999998E-2</v>
      </c>
      <c r="J23">
        <v>7.7786999999999995E-2</v>
      </c>
      <c r="K23">
        <v>0.14514099999999999</v>
      </c>
      <c r="L23">
        <v>0.27917599999999998</v>
      </c>
      <c r="M23">
        <v>0.54715000000000003</v>
      </c>
      <c r="N23">
        <v>1.09867</v>
      </c>
      <c r="O23">
        <v>2.1861600000000001</v>
      </c>
      <c r="P23">
        <v>4.35975</v>
      </c>
      <c r="Q23">
        <v>9.3602000000000008E-3</v>
      </c>
      <c r="R23">
        <v>9.1517000000000005E-3</v>
      </c>
      <c r="S23">
        <v>9.5694999999999999E-3</v>
      </c>
      <c r="T23">
        <v>9.2765999999999994E-3</v>
      </c>
      <c r="U23">
        <v>9.6586999999999992E-3</v>
      </c>
      <c r="V23">
        <v>1.16528E-2</v>
      </c>
      <c r="W23">
        <v>1.5512E-2</v>
      </c>
      <c r="X23">
        <v>2.43254E-2</v>
      </c>
      <c r="Y23">
        <v>4.13771E-2</v>
      </c>
      <c r="Z23">
        <v>7.6230599999999996E-2</v>
      </c>
      <c r="AA23">
        <v>0.145451</v>
      </c>
      <c r="AB23">
        <v>0.28391699999999997</v>
      </c>
      <c r="AC23">
        <v>0.56018699999999999</v>
      </c>
      <c r="AD23">
        <v>1.12904</v>
      </c>
      <c r="AE23">
        <v>2.2499099999999999</v>
      </c>
      <c r="AF23">
        <v>4.4960300000000002</v>
      </c>
    </row>
    <row r="24" spans="1:32" x14ac:dyDescent="0.25">
      <c r="A24">
        <v>1.28836E-2</v>
      </c>
      <c r="B24">
        <v>1.27455E-2</v>
      </c>
      <c r="C24">
        <v>1.32725E-2</v>
      </c>
      <c r="D24">
        <v>1.3252699999999999E-2</v>
      </c>
      <c r="E24">
        <v>1.4554599999999999E-2</v>
      </c>
      <c r="F24">
        <v>1.52195E-2</v>
      </c>
      <c r="G24">
        <v>1.9417799999999999E-2</v>
      </c>
      <c r="H24">
        <v>2.74305E-2</v>
      </c>
      <c r="I24">
        <v>4.5003700000000001E-2</v>
      </c>
      <c r="J24">
        <v>7.8053700000000004E-2</v>
      </c>
      <c r="K24">
        <v>0.14533699999999999</v>
      </c>
      <c r="L24">
        <v>0.27911799999999998</v>
      </c>
      <c r="M24">
        <v>0.54693400000000003</v>
      </c>
      <c r="N24">
        <v>1.09911</v>
      </c>
      <c r="O24">
        <v>2.1857600000000001</v>
      </c>
      <c r="P24">
        <v>4.3599399999999999</v>
      </c>
      <c r="Q24">
        <v>9.1795999999999996E-3</v>
      </c>
      <c r="R24">
        <v>9.0656E-3</v>
      </c>
      <c r="S24">
        <v>9.7470000000000005E-3</v>
      </c>
      <c r="T24">
        <v>9.4465E-3</v>
      </c>
      <c r="U24">
        <v>9.8143999999999992E-3</v>
      </c>
      <c r="V24">
        <v>1.16048E-2</v>
      </c>
      <c r="W24">
        <v>1.55756E-2</v>
      </c>
      <c r="X24">
        <v>2.4306600000000001E-2</v>
      </c>
      <c r="Y24">
        <v>4.1526800000000003E-2</v>
      </c>
      <c r="Z24">
        <v>7.6205800000000004E-2</v>
      </c>
      <c r="AA24">
        <v>0.14527799999999999</v>
      </c>
      <c r="AB24">
        <v>0.283586</v>
      </c>
      <c r="AC24">
        <v>0.56048900000000001</v>
      </c>
      <c r="AD24">
        <v>1.1295999999999999</v>
      </c>
      <c r="AE24">
        <v>2.2517499999999999</v>
      </c>
      <c r="AF24">
        <v>4.4959100000000003</v>
      </c>
    </row>
    <row r="25" spans="1:32" x14ac:dyDescent="0.25">
      <c r="A25">
        <v>1.32928E-2</v>
      </c>
      <c r="B25">
        <v>1.31197E-2</v>
      </c>
      <c r="C25">
        <v>1.3026599999999999E-2</v>
      </c>
      <c r="D25">
        <v>1.34439E-2</v>
      </c>
      <c r="E25">
        <v>1.4559300000000001E-2</v>
      </c>
      <c r="F25">
        <v>1.5596199999999999E-2</v>
      </c>
      <c r="G25">
        <v>1.8847300000000001E-2</v>
      </c>
      <c r="H25">
        <v>2.7748800000000001E-2</v>
      </c>
      <c r="I25">
        <v>4.43893E-2</v>
      </c>
      <c r="J25">
        <v>7.7674599999999996E-2</v>
      </c>
      <c r="K25">
        <v>0.14540500000000001</v>
      </c>
      <c r="L25">
        <v>0.27902300000000002</v>
      </c>
      <c r="M25">
        <v>0.54699600000000004</v>
      </c>
      <c r="N25">
        <v>1.0989199999999999</v>
      </c>
      <c r="O25">
        <v>2.1869800000000001</v>
      </c>
      <c r="P25">
        <v>4.3604099999999999</v>
      </c>
      <c r="Q25">
        <v>9.3746000000000003E-3</v>
      </c>
      <c r="R25">
        <v>9.3618E-3</v>
      </c>
      <c r="S25">
        <v>9.2260999999999992E-3</v>
      </c>
      <c r="T25">
        <v>9.3767E-3</v>
      </c>
      <c r="U25">
        <v>9.7009999999999996E-3</v>
      </c>
      <c r="V25">
        <v>1.1471E-2</v>
      </c>
      <c r="W25">
        <v>1.5652300000000001E-2</v>
      </c>
      <c r="X25">
        <v>2.4161800000000001E-2</v>
      </c>
      <c r="Y25">
        <v>4.1715500000000003E-2</v>
      </c>
      <c r="Z25">
        <v>7.6193700000000003E-2</v>
      </c>
      <c r="AA25">
        <v>0.14547199999999999</v>
      </c>
      <c r="AB25">
        <v>0.28392600000000001</v>
      </c>
      <c r="AC25">
        <v>0.56051200000000001</v>
      </c>
      <c r="AD25">
        <v>1.12961</v>
      </c>
      <c r="AE25">
        <v>2.25162</v>
      </c>
      <c r="AF25">
        <v>4.4957000000000003</v>
      </c>
    </row>
    <row r="26" spans="1:32" x14ac:dyDescent="0.25">
      <c r="A26">
        <v>1.27841E-2</v>
      </c>
      <c r="B26">
        <v>1.2862999999999999E-2</v>
      </c>
      <c r="C26">
        <v>1.3591300000000001E-2</v>
      </c>
      <c r="D26">
        <v>1.31161E-2</v>
      </c>
      <c r="E26">
        <v>1.3639500000000001E-2</v>
      </c>
      <c r="F26">
        <v>1.53603E-2</v>
      </c>
      <c r="G26">
        <v>1.8912200000000001E-2</v>
      </c>
      <c r="H26">
        <v>2.8284400000000001E-2</v>
      </c>
      <c r="I26">
        <v>4.4788700000000001E-2</v>
      </c>
      <c r="J26">
        <v>7.8216800000000003E-2</v>
      </c>
      <c r="K26">
        <v>0.14502000000000001</v>
      </c>
      <c r="L26">
        <v>0.27957199999999999</v>
      </c>
      <c r="M26">
        <v>0.54627499999999996</v>
      </c>
      <c r="N26">
        <v>1.09873</v>
      </c>
      <c r="O26">
        <v>2.1859999999999999</v>
      </c>
      <c r="P26">
        <v>4.35989</v>
      </c>
      <c r="Q26">
        <v>9.4926999999999997E-3</v>
      </c>
      <c r="R26">
        <v>9.2432999999999994E-3</v>
      </c>
      <c r="S26">
        <v>9.2980000000000007E-3</v>
      </c>
      <c r="T26">
        <v>9.3775000000000004E-3</v>
      </c>
      <c r="U26">
        <v>9.7911000000000005E-3</v>
      </c>
      <c r="V26">
        <v>1.1461000000000001E-2</v>
      </c>
      <c r="W26">
        <v>1.56852E-2</v>
      </c>
      <c r="X26">
        <v>2.4166699999999999E-2</v>
      </c>
      <c r="Y26">
        <v>4.1653299999999997E-2</v>
      </c>
      <c r="Z26">
        <v>7.6383699999999999E-2</v>
      </c>
      <c r="AA26">
        <v>0.14551500000000001</v>
      </c>
      <c r="AB26">
        <v>0.28379900000000002</v>
      </c>
      <c r="AC26">
        <v>0.56038299999999996</v>
      </c>
      <c r="AD26">
        <v>1.1298299999999999</v>
      </c>
      <c r="AE26">
        <v>2.25149</v>
      </c>
      <c r="AF26">
        <v>4.4960000000000004</v>
      </c>
    </row>
    <row r="27" spans="1:32" x14ac:dyDescent="0.25">
      <c r="A27">
        <v>1.2662700000000001E-2</v>
      </c>
      <c r="B27">
        <v>1.2993899999999999E-2</v>
      </c>
      <c r="C27">
        <v>1.30081E-2</v>
      </c>
      <c r="D27">
        <v>1.291E-2</v>
      </c>
      <c r="E27">
        <v>1.4761E-2</v>
      </c>
      <c r="F27">
        <v>1.5616700000000001E-2</v>
      </c>
      <c r="G27">
        <v>1.8593200000000001E-2</v>
      </c>
      <c r="H27">
        <v>2.7667899999999999E-2</v>
      </c>
      <c r="I27">
        <v>4.4344599999999998E-2</v>
      </c>
      <c r="J27">
        <v>7.8054999999999999E-2</v>
      </c>
      <c r="K27">
        <v>0.14546600000000001</v>
      </c>
      <c r="L27">
        <v>0.27886899999999998</v>
      </c>
      <c r="M27">
        <v>0.54758200000000001</v>
      </c>
      <c r="N27">
        <v>1.09894</v>
      </c>
      <c r="O27">
        <v>2.1857099999999998</v>
      </c>
      <c r="P27">
        <v>4.3605099999999997</v>
      </c>
      <c r="Q27">
        <v>9.6182999999999998E-3</v>
      </c>
      <c r="R27">
        <v>8.9905999999999996E-3</v>
      </c>
      <c r="S27">
        <v>9.3101999999999994E-3</v>
      </c>
      <c r="T27">
        <v>9.2514999999999993E-3</v>
      </c>
      <c r="U27">
        <v>9.6667000000000003E-3</v>
      </c>
      <c r="V27">
        <v>1.1435000000000001E-2</v>
      </c>
      <c r="W27">
        <v>1.55421E-2</v>
      </c>
      <c r="X27">
        <v>2.4012499999999999E-2</v>
      </c>
      <c r="Y27">
        <v>4.1803399999999998E-2</v>
      </c>
      <c r="Z27">
        <v>7.6224899999999998E-2</v>
      </c>
      <c r="AA27">
        <v>0.1454</v>
      </c>
      <c r="AB27">
        <v>0.28366999999999998</v>
      </c>
      <c r="AC27">
        <v>0.56045699999999998</v>
      </c>
      <c r="AD27">
        <v>1.12958</v>
      </c>
      <c r="AE27">
        <v>2.2514099999999999</v>
      </c>
      <c r="AF27">
        <v>4.4960699999999996</v>
      </c>
    </row>
    <row r="28" spans="1:32" x14ac:dyDescent="0.25">
      <c r="A28">
        <v>1.31976E-2</v>
      </c>
      <c r="B28">
        <v>1.3328700000000001E-2</v>
      </c>
      <c r="C28">
        <v>1.3079E-2</v>
      </c>
      <c r="D28">
        <v>1.29619E-2</v>
      </c>
      <c r="E28">
        <v>1.3387700000000001E-2</v>
      </c>
      <c r="F28">
        <v>1.5035099999999999E-2</v>
      </c>
      <c r="G28">
        <v>1.87212E-2</v>
      </c>
      <c r="H28">
        <v>2.9086999999999998E-2</v>
      </c>
      <c r="I28">
        <v>4.4626100000000002E-2</v>
      </c>
      <c r="J28">
        <v>7.7963199999999996E-2</v>
      </c>
      <c r="K28">
        <v>0.14530899999999999</v>
      </c>
      <c r="L28">
        <v>0.27896700000000002</v>
      </c>
      <c r="M28">
        <v>0.54698400000000003</v>
      </c>
      <c r="N28">
        <v>1.09914</v>
      </c>
      <c r="O28">
        <v>2.1858200000000001</v>
      </c>
      <c r="P28">
        <v>4.36015</v>
      </c>
      <c r="Q28">
        <v>9.3194000000000003E-3</v>
      </c>
      <c r="R28">
        <v>9.2546E-3</v>
      </c>
      <c r="S28">
        <v>9.1234999999999997E-3</v>
      </c>
      <c r="T28">
        <v>9.3328999999999999E-3</v>
      </c>
      <c r="U28">
        <v>9.6699999999999998E-3</v>
      </c>
      <c r="V28">
        <v>1.15142E-2</v>
      </c>
      <c r="W28">
        <v>1.5561800000000001E-2</v>
      </c>
      <c r="X28">
        <v>2.4121E-2</v>
      </c>
      <c r="Y28">
        <v>4.1519500000000001E-2</v>
      </c>
      <c r="Z28">
        <v>7.6300199999999999E-2</v>
      </c>
      <c r="AA28">
        <v>0.14533099999999999</v>
      </c>
      <c r="AB28">
        <v>0.28362799999999999</v>
      </c>
      <c r="AC28">
        <v>0.56025899999999995</v>
      </c>
      <c r="AD28">
        <v>1.1295299999999999</v>
      </c>
      <c r="AE28">
        <v>2.2517399999999999</v>
      </c>
      <c r="AF28">
        <v>4.4963699999999998</v>
      </c>
    </row>
    <row r="29" spans="1:32" x14ac:dyDescent="0.25">
      <c r="A29">
        <v>1.27159E-2</v>
      </c>
      <c r="B29">
        <v>1.2926699999999999E-2</v>
      </c>
      <c r="C29">
        <v>1.3148E-2</v>
      </c>
      <c r="D29">
        <v>1.34012E-2</v>
      </c>
      <c r="E29">
        <v>1.3376000000000001E-2</v>
      </c>
      <c r="F29">
        <v>1.5299399999999999E-2</v>
      </c>
      <c r="G29">
        <v>1.90105E-2</v>
      </c>
      <c r="H29">
        <v>3.0182500000000001E-2</v>
      </c>
      <c r="I29">
        <v>4.4625600000000001E-2</v>
      </c>
      <c r="J29">
        <v>7.7760300000000004E-2</v>
      </c>
      <c r="K29">
        <v>0.14482999999999999</v>
      </c>
      <c r="L29">
        <v>0.27919899999999997</v>
      </c>
      <c r="M29">
        <v>0.54696699999999998</v>
      </c>
      <c r="N29">
        <v>1.0987499999999999</v>
      </c>
      <c r="O29">
        <v>2.1860200000000001</v>
      </c>
      <c r="P29">
        <v>4.36008</v>
      </c>
      <c r="Q29">
        <v>9.2265999999999997E-3</v>
      </c>
      <c r="R29">
        <v>9.0338999999999992E-3</v>
      </c>
      <c r="S29">
        <v>8.9975999999999997E-3</v>
      </c>
      <c r="T29">
        <v>9.3849999999999992E-3</v>
      </c>
      <c r="U29">
        <v>9.7588999999999992E-3</v>
      </c>
      <c r="V29">
        <v>1.1521099999999999E-2</v>
      </c>
      <c r="W29">
        <v>1.53651E-2</v>
      </c>
      <c r="X29">
        <v>2.4028999999999998E-2</v>
      </c>
      <c r="Y29">
        <v>4.1613200000000003E-2</v>
      </c>
      <c r="Z29">
        <v>7.6338500000000004E-2</v>
      </c>
      <c r="AA29">
        <v>0.14535000000000001</v>
      </c>
      <c r="AB29">
        <v>0.28365899999999999</v>
      </c>
      <c r="AC29">
        <v>0.56111999999999995</v>
      </c>
      <c r="AD29">
        <v>1.12968</v>
      </c>
      <c r="AE29">
        <v>2.25183</v>
      </c>
      <c r="AF29">
        <v>4.49505</v>
      </c>
    </row>
    <row r="30" spans="1:32" x14ac:dyDescent="0.25">
      <c r="A30">
        <v>1.2946600000000001E-2</v>
      </c>
      <c r="B30">
        <v>1.3773499999999999E-2</v>
      </c>
      <c r="C30">
        <v>1.30849E-2</v>
      </c>
      <c r="D30">
        <v>1.3025699999999999E-2</v>
      </c>
      <c r="E30">
        <v>1.3551799999999999E-2</v>
      </c>
      <c r="F30">
        <v>1.5651499999999999E-2</v>
      </c>
      <c r="G30">
        <v>1.97401E-2</v>
      </c>
      <c r="H30">
        <v>2.8987200000000001E-2</v>
      </c>
      <c r="I30">
        <v>4.4642399999999999E-2</v>
      </c>
      <c r="J30">
        <v>7.8330399999999994E-2</v>
      </c>
      <c r="K30">
        <v>0.14578099999999999</v>
      </c>
      <c r="L30">
        <v>0.27937000000000001</v>
      </c>
      <c r="M30">
        <v>0.54687399999999997</v>
      </c>
      <c r="N30">
        <v>1.0990200000000001</v>
      </c>
      <c r="O30">
        <v>2.1848100000000001</v>
      </c>
      <c r="P30">
        <v>4.3605700000000001</v>
      </c>
      <c r="Q30">
        <v>9.8242999999999994E-3</v>
      </c>
      <c r="R30">
        <v>9.1538000000000001E-3</v>
      </c>
      <c r="S30">
        <v>9.2580000000000006E-3</v>
      </c>
      <c r="T30">
        <v>9.1780999999999998E-3</v>
      </c>
      <c r="U30">
        <v>1.00783E-2</v>
      </c>
      <c r="V30">
        <v>1.16255E-2</v>
      </c>
      <c r="W30">
        <v>1.55616E-2</v>
      </c>
      <c r="X30">
        <v>2.41812E-2</v>
      </c>
      <c r="Y30">
        <v>4.17328E-2</v>
      </c>
      <c r="Z30">
        <v>7.6230900000000004E-2</v>
      </c>
      <c r="AA30">
        <v>0.145317</v>
      </c>
      <c r="AB30">
        <v>0.28399400000000002</v>
      </c>
      <c r="AC30">
        <v>0.56025899999999995</v>
      </c>
      <c r="AD30">
        <v>1.12957</v>
      </c>
      <c r="AE30">
        <v>2.2517800000000001</v>
      </c>
      <c r="AF30">
        <v>4.4946299999999999</v>
      </c>
    </row>
    <row r="31" spans="1:32" x14ac:dyDescent="0.25">
      <c r="A31">
        <v>1.26073E-2</v>
      </c>
      <c r="B31">
        <v>1.28866E-2</v>
      </c>
      <c r="C31">
        <v>1.3023E-2</v>
      </c>
      <c r="D31">
        <v>1.27832E-2</v>
      </c>
      <c r="E31">
        <v>1.3518199999999999E-2</v>
      </c>
      <c r="F31">
        <v>1.5313E-2</v>
      </c>
      <c r="G31">
        <v>1.8965699999999999E-2</v>
      </c>
      <c r="H31">
        <v>2.7907899999999999E-2</v>
      </c>
      <c r="I31">
        <v>4.4506700000000003E-2</v>
      </c>
      <c r="J31">
        <v>7.8096499999999999E-2</v>
      </c>
      <c r="K31">
        <v>0.14513699999999999</v>
      </c>
      <c r="L31">
        <v>0.27911799999999998</v>
      </c>
      <c r="M31">
        <v>0.54739899999999997</v>
      </c>
      <c r="N31">
        <v>1.0990500000000001</v>
      </c>
      <c r="O31">
        <v>2.1860200000000001</v>
      </c>
      <c r="P31">
        <v>4.3603500000000004</v>
      </c>
      <c r="Q31">
        <v>9.6404000000000004E-3</v>
      </c>
      <c r="R31">
        <v>9.1117999999999998E-3</v>
      </c>
      <c r="S31">
        <v>9.3165000000000001E-3</v>
      </c>
      <c r="T31">
        <v>9.3614000000000006E-3</v>
      </c>
      <c r="U31">
        <v>1.00366E-2</v>
      </c>
      <c r="V31">
        <v>1.1562599999999999E-2</v>
      </c>
      <c r="W31">
        <v>1.56583E-2</v>
      </c>
      <c r="X31">
        <v>2.4066500000000001E-2</v>
      </c>
      <c r="Y31">
        <v>4.13747E-2</v>
      </c>
      <c r="Z31">
        <v>7.6224899999999998E-2</v>
      </c>
      <c r="AA31">
        <v>0.14565800000000001</v>
      </c>
      <c r="AB31">
        <v>0.28381699999999999</v>
      </c>
      <c r="AC31">
        <v>0.56043799999999999</v>
      </c>
      <c r="AD31">
        <v>1.12954</v>
      </c>
      <c r="AE31">
        <v>2.2515499999999999</v>
      </c>
      <c r="AF31">
        <v>4.4954200000000002</v>
      </c>
    </row>
    <row r="32" spans="1:32" x14ac:dyDescent="0.25">
      <c r="A32">
        <v>1.27178E-2</v>
      </c>
      <c r="B32">
        <v>1.27841E-2</v>
      </c>
      <c r="C32">
        <v>1.28661E-2</v>
      </c>
      <c r="D32">
        <v>1.3011999999999999E-2</v>
      </c>
      <c r="E32">
        <v>1.3702799999999999E-2</v>
      </c>
      <c r="F32">
        <v>1.66708E-2</v>
      </c>
      <c r="G32">
        <v>1.8992499999999999E-2</v>
      </c>
      <c r="H32">
        <v>2.7446100000000001E-2</v>
      </c>
      <c r="I32">
        <v>4.4503000000000001E-2</v>
      </c>
      <c r="J32">
        <v>7.8398599999999999E-2</v>
      </c>
      <c r="K32">
        <v>0.14547099999999999</v>
      </c>
      <c r="L32">
        <v>0.27927600000000002</v>
      </c>
      <c r="M32">
        <v>0.54812499999999997</v>
      </c>
      <c r="N32">
        <v>1.0986800000000001</v>
      </c>
      <c r="O32">
        <v>2.18574</v>
      </c>
      <c r="P32">
        <v>4.3599899999999998</v>
      </c>
      <c r="Q32">
        <v>9.8084000000000001E-3</v>
      </c>
      <c r="R32">
        <v>9.4141999999999993E-3</v>
      </c>
      <c r="S32">
        <v>9.0057000000000002E-3</v>
      </c>
      <c r="T32">
        <v>9.4634999999999997E-3</v>
      </c>
      <c r="U32">
        <v>9.8475000000000004E-3</v>
      </c>
      <c r="V32">
        <v>1.1469500000000001E-2</v>
      </c>
      <c r="W32">
        <v>1.5573200000000001E-2</v>
      </c>
      <c r="X32">
        <v>2.39621E-2</v>
      </c>
      <c r="Y32">
        <v>4.1634699999999997E-2</v>
      </c>
      <c r="Z32">
        <v>7.5810500000000003E-2</v>
      </c>
      <c r="AA32">
        <v>0.14582000000000001</v>
      </c>
      <c r="AB32">
        <v>0.28374700000000003</v>
      </c>
      <c r="AC32">
        <v>0.56044400000000005</v>
      </c>
      <c r="AD32">
        <v>1.1294999999999999</v>
      </c>
      <c r="AE32">
        <v>2.2518099999999999</v>
      </c>
      <c r="AF32">
        <v>4.4951499999999998</v>
      </c>
    </row>
    <row r="33" spans="1:32" x14ac:dyDescent="0.25">
      <c r="A33">
        <v>1.3216800000000001E-2</v>
      </c>
      <c r="B33">
        <v>1.3847399999999999E-2</v>
      </c>
      <c r="C33">
        <v>1.2768399999999999E-2</v>
      </c>
      <c r="D33">
        <v>1.29175E-2</v>
      </c>
      <c r="E33">
        <v>1.3743099999999999E-2</v>
      </c>
      <c r="F33">
        <v>1.6109399999999999E-2</v>
      </c>
      <c r="G33">
        <v>1.8900400000000001E-2</v>
      </c>
      <c r="H33">
        <v>2.71951E-2</v>
      </c>
      <c r="I33">
        <v>4.4785999999999999E-2</v>
      </c>
      <c r="J33">
        <v>7.7735299999999993E-2</v>
      </c>
      <c r="K33">
        <v>0.14550099999999999</v>
      </c>
      <c r="L33">
        <v>0.27934599999999998</v>
      </c>
      <c r="M33">
        <v>0.54737999999999998</v>
      </c>
      <c r="N33">
        <v>1.09867</v>
      </c>
      <c r="O33">
        <v>2.18581</v>
      </c>
      <c r="P33">
        <v>4.36043</v>
      </c>
      <c r="Q33">
        <v>9.5799000000000006E-3</v>
      </c>
      <c r="R33">
        <v>9.1240999999999996E-3</v>
      </c>
      <c r="S33">
        <v>9.1520999999999998E-3</v>
      </c>
      <c r="T33">
        <v>9.2473999999999994E-3</v>
      </c>
      <c r="U33">
        <v>9.9416999999999995E-3</v>
      </c>
      <c r="V33">
        <v>1.1583100000000001E-2</v>
      </c>
      <c r="W33">
        <v>1.5606399999999999E-2</v>
      </c>
      <c r="X33">
        <v>2.4069500000000001E-2</v>
      </c>
      <c r="Y33">
        <v>4.1547300000000002E-2</v>
      </c>
      <c r="Z33">
        <v>7.6362399999999997E-2</v>
      </c>
      <c r="AA33">
        <v>0.145958</v>
      </c>
      <c r="AB33">
        <v>0.28352500000000003</v>
      </c>
      <c r="AC33">
        <v>0.56036200000000003</v>
      </c>
      <c r="AD33">
        <v>1.1289499999999999</v>
      </c>
      <c r="AE33">
        <v>2.25162</v>
      </c>
      <c r="AF33">
        <v>4.4937300000000002</v>
      </c>
    </row>
    <row r="34" spans="1:32" x14ac:dyDescent="0.25">
      <c r="A34">
        <v>1.29801E-2</v>
      </c>
      <c r="B34">
        <v>1.3058200000000001E-2</v>
      </c>
      <c r="C34">
        <v>1.3418100000000001E-2</v>
      </c>
      <c r="D34">
        <v>1.31425E-2</v>
      </c>
      <c r="E34">
        <v>1.34333E-2</v>
      </c>
      <c r="F34">
        <v>1.63196E-2</v>
      </c>
      <c r="G34">
        <v>1.89146E-2</v>
      </c>
      <c r="H34">
        <v>2.7938999999999999E-2</v>
      </c>
      <c r="I34">
        <v>4.4136500000000002E-2</v>
      </c>
      <c r="J34">
        <v>7.7898899999999993E-2</v>
      </c>
      <c r="K34">
        <v>0.145426</v>
      </c>
      <c r="L34">
        <v>0.278972</v>
      </c>
      <c r="M34">
        <v>0.54688899999999996</v>
      </c>
      <c r="N34">
        <v>1.09873</v>
      </c>
      <c r="O34">
        <v>2.1854399999999998</v>
      </c>
      <c r="P34">
        <v>4.3606800000000003</v>
      </c>
      <c r="Q34">
        <v>9.5259999999999997E-3</v>
      </c>
      <c r="R34">
        <v>8.9601999999999998E-3</v>
      </c>
      <c r="S34">
        <v>9.5038999999999992E-3</v>
      </c>
      <c r="T34">
        <v>9.3741999999999992E-3</v>
      </c>
      <c r="U34">
        <v>9.9819000000000001E-3</v>
      </c>
      <c r="V34">
        <v>1.1504E-2</v>
      </c>
      <c r="W34">
        <v>1.5654700000000001E-2</v>
      </c>
      <c r="X34">
        <v>2.40766E-2</v>
      </c>
      <c r="Y34">
        <v>4.1727899999999998E-2</v>
      </c>
      <c r="Z34">
        <v>7.6219899999999993E-2</v>
      </c>
      <c r="AA34">
        <v>0.14613799999999999</v>
      </c>
      <c r="AB34">
        <v>0.28370400000000001</v>
      </c>
      <c r="AC34">
        <v>0.560419</v>
      </c>
      <c r="AD34">
        <v>1.12886</v>
      </c>
      <c r="AE34">
        <v>2.2513200000000002</v>
      </c>
      <c r="AF34">
        <v>4.4957900000000004</v>
      </c>
    </row>
    <row r="35" spans="1:32" x14ac:dyDescent="0.25">
      <c r="A35">
        <v>1.2897199999999999E-2</v>
      </c>
      <c r="B35">
        <v>1.3823800000000001E-2</v>
      </c>
      <c r="C35">
        <v>1.4038999999999999E-2</v>
      </c>
      <c r="D35">
        <v>1.30279E-2</v>
      </c>
      <c r="E35">
        <v>1.3528E-2</v>
      </c>
      <c r="F35">
        <v>1.59147E-2</v>
      </c>
      <c r="G35">
        <v>1.92663E-2</v>
      </c>
      <c r="H35">
        <v>2.7459500000000001E-2</v>
      </c>
      <c r="I35">
        <v>4.5247700000000002E-2</v>
      </c>
      <c r="J35">
        <v>7.8212799999999999E-2</v>
      </c>
      <c r="K35">
        <v>0.14540800000000001</v>
      </c>
      <c r="L35">
        <v>0.27924199999999999</v>
      </c>
      <c r="M35">
        <v>0.54678400000000005</v>
      </c>
      <c r="N35">
        <v>1.09897</v>
      </c>
      <c r="O35">
        <v>2.1861600000000001</v>
      </c>
      <c r="P35">
        <v>4.3603199999999998</v>
      </c>
      <c r="Q35">
        <v>9.5727E-3</v>
      </c>
      <c r="R35">
        <v>9.1768000000000006E-3</v>
      </c>
      <c r="S35">
        <v>9.0667000000000005E-3</v>
      </c>
      <c r="T35">
        <v>9.2776000000000004E-3</v>
      </c>
      <c r="U35">
        <v>9.7439999999999992E-3</v>
      </c>
      <c r="V35">
        <v>1.14024E-2</v>
      </c>
      <c r="W35">
        <v>1.55859E-2</v>
      </c>
      <c r="X35">
        <v>2.39189E-2</v>
      </c>
      <c r="Y35">
        <v>4.1520000000000001E-2</v>
      </c>
      <c r="Z35">
        <v>7.6662099999999997E-2</v>
      </c>
      <c r="AA35">
        <v>0.145735</v>
      </c>
      <c r="AB35">
        <v>0.28380499999999997</v>
      </c>
      <c r="AC35">
        <v>0.56040299999999998</v>
      </c>
      <c r="AD35">
        <v>1.1295599999999999</v>
      </c>
      <c r="AE35">
        <v>2.2517100000000001</v>
      </c>
      <c r="AF35">
        <v>4.4954200000000002</v>
      </c>
    </row>
    <row r="36" spans="1:32" x14ac:dyDescent="0.25">
      <c r="A36">
        <v>1.2825400000000001E-2</v>
      </c>
      <c r="B36">
        <v>1.3357000000000001E-2</v>
      </c>
      <c r="C36">
        <v>1.2855500000000001E-2</v>
      </c>
      <c r="D36">
        <v>1.30942E-2</v>
      </c>
      <c r="E36">
        <v>1.3495200000000001E-2</v>
      </c>
      <c r="F36">
        <v>1.50341E-2</v>
      </c>
      <c r="G36">
        <v>1.9807000000000002E-2</v>
      </c>
      <c r="H36">
        <v>2.76239E-2</v>
      </c>
      <c r="I36">
        <v>4.4722499999999998E-2</v>
      </c>
      <c r="J36">
        <v>7.8230300000000003E-2</v>
      </c>
      <c r="K36">
        <v>0.14489099999999999</v>
      </c>
      <c r="L36">
        <v>0.27929900000000002</v>
      </c>
      <c r="M36">
        <v>0.54700099999999996</v>
      </c>
      <c r="N36">
        <v>1.09911</v>
      </c>
      <c r="O36">
        <v>2.1861799999999998</v>
      </c>
      <c r="P36">
        <v>4.3605999999999998</v>
      </c>
      <c r="Q36">
        <v>8.9425000000000008E-3</v>
      </c>
      <c r="R36">
        <v>9.2695E-3</v>
      </c>
      <c r="S36">
        <v>8.9838000000000001E-3</v>
      </c>
      <c r="T36">
        <v>9.3903000000000007E-3</v>
      </c>
      <c r="U36">
        <v>9.7427E-3</v>
      </c>
      <c r="V36">
        <v>1.1670399999999999E-2</v>
      </c>
      <c r="W36">
        <v>1.5485000000000001E-2</v>
      </c>
      <c r="X36">
        <v>2.4214200000000002E-2</v>
      </c>
      <c r="Y36">
        <v>4.1435800000000002E-2</v>
      </c>
      <c r="Z36">
        <v>7.6170299999999996E-2</v>
      </c>
      <c r="AA36">
        <v>0.14579300000000001</v>
      </c>
      <c r="AB36">
        <v>0.28353699999999998</v>
      </c>
      <c r="AC36">
        <v>0.56079999999999997</v>
      </c>
      <c r="AD36">
        <v>1.12965</v>
      </c>
      <c r="AE36">
        <v>2.2518400000000001</v>
      </c>
      <c r="AF36">
        <v>4.4938099999999999</v>
      </c>
    </row>
    <row r="37" spans="1:32" x14ac:dyDescent="0.25">
      <c r="A37">
        <v>1.2832100000000001E-2</v>
      </c>
      <c r="B37">
        <v>1.27084E-2</v>
      </c>
      <c r="C37">
        <v>1.34556E-2</v>
      </c>
      <c r="D37">
        <v>1.3033100000000001E-2</v>
      </c>
      <c r="E37">
        <v>1.34983E-2</v>
      </c>
      <c r="F37">
        <v>1.5188999999999999E-2</v>
      </c>
      <c r="G37">
        <v>1.8973199999999999E-2</v>
      </c>
      <c r="H37">
        <v>2.7539299999999999E-2</v>
      </c>
      <c r="I37">
        <v>4.4763400000000002E-2</v>
      </c>
      <c r="J37">
        <v>7.8070299999999995E-2</v>
      </c>
      <c r="K37">
        <v>0.14563000000000001</v>
      </c>
      <c r="L37">
        <v>0.27900799999999998</v>
      </c>
      <c r="M37">
        <v>0.547045</v>
      </c>
      <c r="N37">
        <v>1.0986199999999999</v>
      </c>
      <c r="O37">
        <v>2.1859600000000001</v>
      </c>
      <c r="P37">
        <v>4.3608399999999996</v>
      </c>
      <c r="Q37">
        <v>9.4132999999999994E-3</v>
      </c>
      <c r="R37">
        <v>9.2989000000000006E-3</v>
      </c>
      <c r="S37">
        <v>9.4459000000000001E-3</v>
      </c>
      <c r="T37">
        <v>9.4403000000000004E-3</v>
      </c>
      <c r="U37">
        <v>9.6104999999999993E-3</v>
      </c>
      <c r="V37">
        <v>1.14243E-2</v>
      </c>
      <c r="W37">
        <v>1.5362000000000001E-2</v>
      </c>
      <c r="X37">
        <v>2.40188E-2</v>
      </c>
      <c r="Y37">
        <v>4.17463E-2</v>
      </c>
      <c r="Z37">
        <v>7.6138300000000006E-2</v>
      </c>
      <c r="AA37">
        <v>0.14585899999999999</v>
      </c>
      <c r="AB37">
        <v>0.28361700000000001</v>
      </c>
      <c r="AC37">
        <v>0.56900200000000001</v>
      </c>
      <c r="AD37">
        <v>1.12967</v>
      </c>
      <c r="AE37">
        <v>2.2514400000000001</v>
      </c>
      <c r="AF37">
        <v>4.4960000000000004</v>
      </c>
    </row>
    <row r="38" spans="1:32" x14ac:dyDescent="0.25">
      <c r="A38">
        <v>1.29301E-2</v>
      </c>
      <c r="B38">
        <v>1.2673200000000001E-2</v>
      </c>
      <c r="C38">
        <v>1.2885799999999999E-2</v>
      </c>
      <c r="D38">
        <v>1.4516899999999999E-2</v>
      </c>
      <c r="E38">
        <v>1.35449E-2</v>
      </c>
      <c r="F38">
        <v>1.51886E-2</v>
      </c>
      <c r="G38">
        <v>1.8786299999999999E-2</v>
      </c>
      <c r="H38">
        <v>2.7317399999999999E-2</v>
      </c>
      <c r="I38">
        <v>4.47537E-2</v>
      </c>
      <c r="J38">
        <v>7.7946199999999993E-2</v>
      </c>
      <c r="K38">
        <v>0.14566399999999999</v>
      </c>
      <c r="L38">
        <v>0.27928799999999998</v>
      </c>
      <c r="M38">
        <v>0.54738299999999995</v>
      </c>
      <c r="N38">
        <v>1.0990599999999999</v>
      </c>
      <c r="O38">
        <v>2.1859199999999999</v>
      </c>
      <c r="P38">
        <v>4.3594999999999997</v>
      </c>
      <c r="Q38">
        <v>9.1426000000000007E-3</v>
      </c>
      <c r="R38">
        <v>9.3051000000000002E-3</v>
      </c>
      <c r="S38">
        <v>9.2565000000000008E-3</v>
      </c>
      <c r="T38">
        <v>9.2560999999999997E-3</v>
      </c>
      <c r="U38">
        <v>9.7496000000000006E-3</v>
      </c>
      <c r="V38">
        <v>1.15639E-2</v>
      </c>
      <c r="W38">
        <v>1.5644100000000001E-2</v>
      </c>
      <c r="X38">
        <v>2.42823E-2</v>
      </c>
      <c r="Y38">
        <v>4.1612400000000001E-2</v>
      </c>
      <c r="Z38">
        <v>7.57636E-2</v>
      </c>
      <c r="AA38">
        <v>0.14580699999999999</v>
      </c>
      <c r="AB38">
        <v>0.28372399999999998</v>
      </c>
      <c r="AC38">
        <v>0.56888700000000003</v>
      </c>
      <c r="AD38">
        <v>1.12961</v>
      </c>
      <c r="AE38">
        <v>2.2512300000000001</v>
      </c>
      <c r="AF38">
        <v>4.4958900000000002</v>
      </c>
    </row>
    <row r="39" spans="1:32" x14ac:dyDescent="0.25">
      <c r="A39">
        <v>1.2709700000000001E-2</v>
      </c>
      <c r="B39">
        <v>1.3195E-2</v>
      </c>
      <c r="C39">
        <v>1.28021E-2</v>
      </c>
      <c r="D39">
        <v>1.3091800000000001E-2</v>
      </c>
      <c r="E39">
        <v>1.3121300000000001E-2</v>
      </c>
      <c r="F39">
        <v>1.5310900000000001E-2</v>
      </c>
      <c r="G39">
        <v>1.9080199999999999E-2</v>
      </c>
      <c r="H39">
        <v>2.7311100000000001E-2</v>
      </c>
      <c r="I39">
        <v>4.4522699999999998E-2</v>
      </c>
      <c r="J39">
        <v>7.8321699999999994E-2</v>
      </c>
      <c r="K39">
        <v>0.14514199999999999</v>
      </c>
      <c r="L39">
        <v>0.27983200000000003</v>
      </c>
      <c r="M39">
        <v>0.54678199999999999</v>
      </c>
      <c r="N39">
        <v>1.0992299999999999</v>
      </c>
      <c r="O39">
        <v>2.1859199999999999</v>
      </c>
      <c r="P39">
        <v>4.3607699999999996</v>
      </c>
      <c r="Q39">
        <v>9.1535999999999996E-3</v>
      </c>
      <c r="R39">
        <v>9.2353999999999995E-3</v>
      </c>
      <c r="S39">
        <v>9.1528000000000009E-3</v>
      </c>
      <c r="T39">
        <v>9.2393000000000006E-3</v>
      </c>
      <c r="U39">
        <v>9.8083000000000007E-3</v>
      </c>
      <c r="V39">
        <v>1.1538400000000001E-2</v>
      </c>
      <c r="W39">
        <v>1.53572E-2</v>
      </c>
      <c r="X39">
        <v>2.4369100000000001E-2</v>
      </c>
      <c r="Y39">
        <v>4.1507200000000001E-2</v>
      </c>
      <c r="Z39">
        <v>7.6267500000000002E-2</v>
      </c>
      <c r="AA39">
        <v>0.14589199999999999</v>
      </c>
      <c r="AB39">
        <v>0.28365699999999999</v>
      </c>
      <c r="AC39">
        <v>0.56886800000000004</v>
      </c>
      <c r="AD39">
        <v>1.1294500000000001</v>
      </c>
      <c r="AE39">
        <v>2.2514699999999999</v>
      </c>
      <c r="AF39">
        <v>4.4958</v>
      </c>
    </row>
    <row r="40" spans="1:32" x14ac:dyDescent="0.25">
      <c r="A40">
        <v>1.27575E-2</v>
      </c>
      <c r="B40">
        <v>1.2820099999999999E-2</v>
      </c>
      <c r="C40">
        <v>1.3197199999999999E-2</v>
      </c>
      <c r="D40">
        <v>1.35329E-2</v>
      </c>
      <c r="E40">
        <v>1.32335E-2</v>
      </c>
      <c r="F40">
        <v>1.5021700000000001E-2</v>
      </c>
      <c r="G40">
        <v>1.8886099999999999E-2</v>
      </c>
      <c r="H40">
        <v>2.75707E-2</v>
      </c>
      <c r="I40">
        <v>4.4685200000000001E-2</v>
      </c>
      <c r="J40">
        <v>7.7665200000000004E-2</v>
      </c>
      <c r="K40">
        <v>0.14535999999999999</v>
      </c>
      <c r="L40">
        <v>0.27899299999999999</v>
      </c>
      <c r="M40">
        <v>0.54714799999999997</v>
      </c>
      <c r="N40">
        <v>1.09839</v>
      </c>
      <c r="O40">
        <v>2.1853500000000001</v>
      </c>
      <c r="P40">
        <v>4.3588300000000002</v>
      </c>
      <c r="Q40">
        <v>9.1874000000000001E-3</v>
      </c>
      <c r="R40">
        <v>9.1833999999999995E-3</v>
      </c>
      <c r="S40">
        <v>9.2805000000000006E-3</v>
      </c>
      <c r="T40">
        <v>9.4044999999999997E-3</v>
      </c>
      <c r="U40">
        <v>9.7727999999999999E-3</v>
      </c>
      <c r="V40">
        <v>1.14068E-2</v>
      </c>
      <c r="W40">
        <v>1.5642099999999999E-2</v>
      </c>
      <c r="X40">
        <v>2.3944199999999999E-2</v>
      </c>
      <c r="Y40">
        <v>4.1458799999999997E-2</v>
      </c>
      <c r="Z40">
        <v>7.6264399999999996E-2</v>
      </c>
      <c r="AA40">
        <v>0.14484</v>
      </c>
      <c r="AB40">
        <v>0.28349000000000002</v>
      </c>
      <c r="AC40">
        <v>0.56871400000000005</v>
      </c>
      <c r="AD40">
        <v>1.12941</v>
      </c>
      <c r="AE40">
        <v>2.2514799999999999</v>
      </c>
      <c r="AF40">
        <v>4.4955600000000002</v>
      </c>
    </row>
    <row r="41" spans="1:32" x14ac:dyDescent="0.25">
      <c r="A41">
        <v>1.26382E-2</v>
      </c>
      <c r="B41">
        <v>1.25813E-2</v>
      </c>
      <c r="C41">
        <v>1.30475E-2</v>
      </c>
      <c r="D41">
        <v>1.37235E-2</v>
      </c>
      <c r="E41">
        <v>1.38078E-2</v>
      </c>
      <c r="F41">
        <v>1.49856E-2</v>
      </c>
      <c r="G41">
        <v>1.9156099999999999E-2</v>
      </c>
      <c r="H41">
        <v>2.73259E-2</v>
      </c>
      <c r="I41">
        <v>4.44301E-2</v>
      </c>
      <c r="J41">
        <v>7.7911999999999995E-2</v>
      </c>
      <c r="K41">
        <v>0.14541699999999999</v>
      </c>
      <c r="L41">
        <v>0.27900399999999997</v>
      </c>
      <c r="M41">
        <v>0.54691299999999998</v>
      </c>
      <c r="N41">
        <v>1.0983099999999999</v>
      </c>
      <c r="O41">
        <v>2.18642</v>
      </c>
      <c r="P41">
        <v>4.3596500000000002</v>
      </c>
      <c r="Q41">
        <v>8.9531999999999997E-3</v>
      </c>
      <c r="R41">
        <v>9.1856000000000004E-3</v>
      </c>
      <c r="S41">
        <v>8.9648999999999996E-3</v>
      </c>
      <c r="T41">
        <v>9.4576E-3</v>
      </c>
      <c r="U41">
        <v>9.7210000000000005E-3</v>
      </c>
      <c r="V41">
        <v>1.1746299999999999E-2</v>
      </c>
      <c r="W41">
        <v>1.59487E-2</v>
      </c>
      <c r="X41">
        <v>2.44628E-2</v>
      </c>
      <c r="Y41">
        <v>4.1662499999999998E-2</v>
      </c>
      <c r="Z41">
        <v>7.6142699999999994E-2</v>
      </c>
      <c r="AA41">
        <v>0.145928</v>
      </c>
      <c r="AB41">
        <v>0.28355999999999998</v>
      </c>
      <c r="AC41">
        <v>0.568824</v>
      </c>
      <c r="AD41">
        <v>1.1297900000000001</v>
      </c>
      <c r="AE41">
        <v>2.25169</v>
      </c>
      <c r="AF41">
        <v>4.4956800000000001</v>
      </c>
    </row>
    <row r="42" spans="1:32" x14ac:dyDescent="0.25">
      <c r="A42">
        <v>1.3229400000000001E-2</v>
      </c>
      <c r="B42">
        <v>1.2708000000000001E-2</v>
      </c>
      <c r="C42">
        <v>1.3269100000000001E-2</v>
      </c>
      <c r="D42">
        <v>1.31428E-2</v>
      </c>
      <c r="E42">
        <v>1.3663099999999999E-2</v>
      </c>
      <c r="F42">
        <v>1.4863299999999999E-2</v>
      </c>
      <c r="G42">
        <v>1.9285099999999999E-2</v>
      </c>
      <c r="H42">
        <v>2.7428899999999999E-2</v>
      </c>
      <c r="I42">
        <v>4.4983700000000001E-2</v>
      </c>
      <c r="J42">
        <v>7.8102000000000005E-2</v>
      </c>
      <c r="K42">
        <v>0.145618</v>
      </c>
      <c r="L42">
        <v>0.278868</v>
      </c>
      <c r="M42">
        <v>0.547261</v>
      </c>
      <c r="N42">
        <v>1.09859</v>
      </c>
      <c r="O42">
        <v>2.1859299999999999</v>
      </c>
      <c r="P42">
        <v>4.3597799999999998</v>
      </c>
      <c r="Q42">
        <v>9.1541999999999995E-3</v>
      </c>
      <c r="R42">
        <v>9.0098999999999995E-3</v>
      </c>
      <c r="S42">
        <v>9.2417000000000003E-3</v>
      </c>
      <c r="T42">
        <v>9.7464000000000005E-3</v>
      </c>
      <c r="U42">
        <v>9.6673000000000002E-3</v>
      </c>
      <c r="V42">
        <v>1.17914E-2</v>
      </c>
      <c r="W42">
        <v>1.54161E-2</v>
      </c>
      <c r="X42">
        <v>2.39726E-2</v>
      </c>
      <c r="Y42">
        <v>4.16826E-2</v>
      </c>
      <c r="Z42">
        <v>7.6044299999999995E-2</v>
      </c>
      <c r="AA42">
        <v>0.145792</v>
      </c>
      <c r="AB42">
        <v>0.28357500000000002</v>
      </c>
      <c r="AC42">
        <v>0.56870699999999996</v>
      </c>
      <c r="AD42">
        <v>1.1295900000000001</v>
      </c>
      <c r="AE42">
        <v>2.2516799999999999</v>
      </c>
      <c r="AF42">
        <v>4.4956899999999997</v>
      </c>
    </row>
    <row r="43" spans="1:32" x14ac:dyDescent="0.25">
      <c r="A43">
        <v>1.3302100000000001E-2</v>
      </c>
      <c r="B43">
        <v>1.28118E-2</v>
      </c>
      <c r="C43">
        <v>1.3384699999999999E-2</v>
      </c>
      <c r="D43">
        <v>1.3351200000000001E-2</v>
      </c>
      <c r="E43">
        <v>1.3684699999999999E-2</v>
      </c>
      <c r="F43">
        <v>1.48903E-2</v>
      </c>
      <c r="G43">
        <v>1.91244E-2</v>
      </c>
      <c r="H43">
        <v>2.76717E-2</v>
      </c>
      <c r="I43">
        <v>4.4515300000000001E-2</v>
      </c>
      <c r="J43">
        <v>7.8138899999999997E-2</v>
      </c>
      <c r="K43">
        <v>0.145479</v>
      </c>
      <c r="L43">
        <v>0.27898499999999998</v>
      </c>
      <c r="M43">
        <v>0.54685600000000001</v>
      </c>
      <c r="N43">
        <v>1.0985199999999999</v>
      </c>
      <c r="O43">
        <v>2.1860300000000001</v>
      </c>
      <c r="P43">
        <v>4.3594999999999997</v>
      </c>
      <c r="Q43">
        <v>9.2051000000000008E-3</v>
      </c>
      <c r="R43">
        <v>9.1035000000000005E-3</v>
      </c>
      <c r="S43">
        <v>9.3799999999999994E-3</v>
      </c>
      <c r="T43">
        <v>9.2596999999999992E-3</v>
      </c>
      <c r="U43">
        <v>9.9030000000000003E-3</v>
      </c>
      <c r="V43">
        <v>1.1521699999999999E-2</v>
      </c>
      <c r="W43">
        <v>1.5739900000000001E-2</v>
      </c>
      <c r="X43">
        <v>2.4468500000000001E-2</v>
      </c>
      <c r="Y43">
        <v>4.14531E-2</v>
      </c>
      <c r="Z43">
        <v>7.6077500000000006E-2</v>
      </c>
      <c r="AA43">
        <v>0.14600299999999999</v>
      </c>
      <c r="AB43">
        <v>0.28409600000000002</v>
      </c>
      <c r="AC43">
        <v>0.56877599999999995</v>
      </c>
      <c r="AD43">
        <v>1.12934</v>
      </c>
      <c r="AE43">
        <v>2.25136</v>
      </c>
      <c r="AF43">
        <v>4.4959300000000004</v>
      </c>
    </row>
    <row r="44" spans="1:32" x14ac:dyDescent="0.25">
      <c r="A44">
        <v>1.28451E-2</v>
      </c>
      <c r="B44">
        <v>1.2925600000000001E-2</v>
      </c>
      <c r="C44">
        <v>1.3227300000000001E-2</v>
      </c>
      <c r="D44">
        <v>1.2960299999999999E-2</v>
      </c>
      <c r="E44">
        <v>1.35853E-2</v>
      </c>
      <c r="F44">
        <v>1.4988700000000001E-2</v>
      </c>
      <c r="G44">
        <v>1.8898399999999999E-2</v>
      </c>
      <c r="H44">
        <v>2.7446499999999999E-2</v>
      </c>
      <c r="I44">
        <v>4.50874E-2</v>
      </c>
      <c r="J44">
        <v>7.8302499999999997E-2</v>
      </c>
      <c r="K44">
        <v>0.14573900000000001</v>
      </c>
      <c r="L44">
        <v>0.27884199999999998</v>
      </c>
      <c r="M44">
        <v>0.54715899999999995</v>
      </c>
      <c r="N44">
        <v>1.0983700000000001</v>
      </c>
      <c r="O44">
        <v>2.18607</v>
      </c>
      <c r="P44">
        <v>4.3593500000000001</v>
      </c>
      <c r="Q44">
        <v>9.2777999999999992E-3</v>
      </c>
      <c r="R44">
        <v>9.2300999999999998E-3</v>
      </c>
      <c r="S44">
        <v>9.1103999999999994E-3</v>
      </c>
      <c r="T44">
        <v>9.3133999999999995E-3</v>
      </c>
      <c r="U44">
        <v>9.8457000000000006E-3</v>
      </c>
      <c r="V44">
        <v>1.16995E-2</v>
      </c>
      <c r="W44">
        <v>1.5572000000000001E-2</v>
      </c>
      <c r="X44">
        <v>2.4167399999999999E-2</v>
      </c>
      <c r="Y44">
        <v>4.13747E-2</v>
      </c>
      <c r="Z44">
        <v>7.6109599999999999E-2</v>
      </c>
      <c r="AA44">
        <v>0.14577399999999999</v>
      </c>
      <c r="AB44">
        <v>0.28373500000000001</v>
      </c>
      <c r="AC44">
        <v>0.568855</v>
      </c>
      <c r="AD44">
        <v>1.12958</v>
      </c>
      <c r="AE44">
        <v>2.2517499999999999</v>
      </c>
      <c r="AF44">
        <v>4.4960500000000003</v>
      </c>
    </row>
    <row r="45" spans="1:32" x14ac:dyDescent="0.25">
      <c r="A45">
        <v>1.30581E-2</v>
      </c>
      <c r="B45">
        <v>1.31287E-2</v>
      </c>
      <c r="C45">
        <v>1.29696E-2</v>
      </c>
      <c r="D45">
        <v>1.31193E-2</v>
      </c>
      <c r="E45">
        <v>1.35335E-2</v>
      </c>
      <c r="F45">
        <v>1.5514E-2</v>
      </c>
      <c r="G45">
        <v>1.8972800000000001E-2</v>
      </c>
      <c r="H45">
        <v>2.7181500000000001E-2</v>
      </c>
      <c r="I45">
        <v>4.42098E-2</v>
      </c>
      <c r="J45">
        <v>7.8224100000000005E-2</v>
      </c>
      <c r="K45">
        <v>0.14518</v>
      </c>
      <c r="L45">
        <v>0.27894400000000003</v>
      </c>
      <c r="M45">
        <v>0.54736799999999997</v>
      </c>
      <c r="N45">
        <v>1.0985199999999999</v>
      </c>
      <c r="O45">
        <v>2.1859500000000001</v>
      </c>
      <c r="P45">
        <v>4.35961</v>
      </c>
      <c r="Q45">
        <v>9.2055000000000001E-3</v>
      </c>
      <c r="R45">
        <v>9.1274000000000008E-3</v>
      </c>
      <c r="S45">
        <v>9.2387000000000007E-3</v>
      </c>
      <c r="T45">
        <v>9.3560999999999991E-3</v>
      </c>
      <c r="U45">
        <v>9.6891000000000008E-3</v>
      </c>
      <c r="V45">
        <v>1.1464E-2</v>
      </c>
      <c r="W45">
        <v>1.53933E-2</v>
      </c>
      <c r="X45">
        <v>2.4100300000000002E-2</v>
      </c>
      <c r="Y45">
        <v>4.1699800000000002E-2</v>
      </c>
      <c r="Z45">
        <v>7.6371599999999998E-2</v>
      </c>
      <c r="AA45">
        <v>0.145736</v>
      </c>
      <c r="AB45">
        <v>0.28369699999999998</v>
      </c>
      <c r="AC45">
        <v>0.568712</v>
      </c>
      <c r="AD45">
        <v>1.12944</v>
      </c>
      <c r="AE45">
        <v>2.2515100000000001</v>
      </c>
      <c r="AF45">
        <v>4.4959600000000002</v>
      </c>
    </row>
    <row r="46" spans="1:32" x14ac:dyDescent="0.25">
      <c r="A46">
        <v>1.27607E-2</v>
      </c>
      <c r="B46">
        <v>1.31191E-2</v>
      </c>
      <c r="C46">
        <v>1.30043E-2</v>
      </c>
      <c r="D46">
        <v>1.3429999999999999E-2</v>
      </c>
      <c r="E46">
        <v>1.35455E-2</v>
      </c>
      <c r="F46">
        <v>1.5277300000000001E-2</v>
      </c>
      <c r="G46">
        <v>1.9175899999999999E-2</v>
      </c>
      <c r="H46">
        <v>2.76396E-2</v>
      </c>
      <c r="I46">
        <v>4.43379E-2</v>
      </c>
      <c r="J46">
        <v>7.7746899999999994E-2</v>
      </c>
      <c r="K46">
        <v>0.14568600000000001</v>
      </c>
      <c r="L46">
        <v>0.27884399999999998</v>
      </c>
      <c r="M46">
        <v>0.546713</v>
      </c>
      <c r="N46">
        <v>1.0987499999999999</v>
      </c>
      <c r="O46">
        <v>2.1862200000000001</v>
      </c>
      <c r="P46">
        <v>4.3596300000000001</v>
      </c>
      <c r="Q46">
        <v>9.1331999999999993E-3</v>
      </c>
      <c r="R46">
        <v>9.1077999999999992E-3</v>
      </c>
      <c r="S46">
        <v>9.3916999999999994E-3</v>
      </c>
      <c r="T46">
        <v>9.3051999999999996E-3</v>
      </c>
      <c r="U46">
        <v>9.8866000000000006E-3</v>
      </c>
      <c r="V46">
        <v>1.14926E-2</v>
      </c>
      <c r="W46">
        <v>1.54124E-2</v>
      </c>
      <c r="X46">
        <v>2.4358500000000002E-2</v>
      </c>
      <c r="Y46">
        <v>4.16604E-2</v>
      </c>
      <c r="Z46">
        <v>7.6207300000000006E-2</v>
      </c>
      <c r="AA46">
        <v>0.14585500000000001</v>
      </c>
      <c r="AB46">
        <v>0.28356300000000001</v>
      </c>
      <c r="AC46">
        <v>0.56874599999999997</v>
      </c>
      <c r="AD46">
        <v>1.1293800000000001</v>
      </c>
      <c r="AE46">
        <v>2.2516600000000002</v>
      </c>
      <c r="AF46">
        <v>4.4941800000000001</v>
      </c>
    </row>
    <row r="47" spans="1:32" x14ac:dyDescent="0.25">
      <c r="A47">
        <v>1.2845799999999999E-2</v>
      </c>
      <c r="B47">
        <v>1.3859099999999999E-2</v>
      </c>
      <c r="C47">
        <v>1.2607800000000001E-2</v>
      </c>
      <c r="D47">
        <v>1.28094E-2</v>
      </c>
      <c r="E47">
        <v>1.3507699999999999E-2</v>
      </c>
      <c r="F47">
        <v>1.5815200000000001E-2</v>
      </c>
      <c r="G47">
        <v>2.03197E-2</v>
      </c>
      <c r="H47">
        <v>2.7535899999999999E-2</v>
      </c>
      <c r="I47">
        <v>4.4399899999999999E-2</v>
      </c>
      <c r="J47">
        <v>7.8597100000000003E-2</v>
      </c>
      <c r="K47">
        <v>0.14541699999999999</v>
      </c>
      <c r="L47">
        <v>0.27916000000000002</v>
      </c>
      <c r="M47">
        <v>0.54684299999999997</v>
      </c>
      <c r="N47">
        <v>1.0974299999999999</v>
      </c>
      <c r="O47">
        <v>2.1867299999999998</v>
      </c>
      <c r="P47">
        <v>4.3600099999999999</v>
      </c>
      <c r="Q47">
        <v>9.0778000000000005E-3</v>
      </c>
      <c r="R47">
        <v>9.6637000000000008E-3</v>
      </c>
      <c r="S47">
        <v>9.1249999999999994E-3</v>
      </c>
      <c r="T47">
        <v>9.2463000000000007E-3</v>
      </c>
      <c r="U47">
        <v>9.5911999999999994E-3</v>
      </c>
      <c r="V47">
        <v>1.13995E-2</v>
      </c>
      <c r="W47">
        <v>1.55523E-2</v>
      </c>
      <c r="X47">
        <v>2.4374699999999999E-2</v>
      </c>
      <c r="Y47">
        <v>4.1993299999999997E-2</v>
      </c>
      <c r="Z47">
        <v>7.6045600000000005E-2</v>
      </c>
      <c r="AA47">
        <v>0.14611199999999999</v>
      </c>
      <c r="AB47">
        <v>0.28397800000000001</v>
      </c>
      <c r="AC47">
        <v>0.56902600000000003</v>
      </c>
      <c r="AD47">
        <v>1.1295900000000001</v>
      </c>
      <c r="AE47">
        <v>2.25183</v>
      </c>
      <c r="AF47">
        <v>4.4946200000000003</v>
      </c>
    </row>
    <row r="48" spans="1:32" x14ac:dyDescent="0.25">
      <c r="A48">
        <v>1.52658E-2</v>
      </c>
      <c r="B48">
        <v>1.26803E-2</v>
      </c>
      <c r="C48">
        <v>1.26897E-2</v>
      </c>
      <c r="D48">
        <v>1.354E-2</v>
      </c>
      <c r="E48">
        <v>1.32947E-2</v>
      </c>
      <c r="F48">
        <v>1.5181E-2</v>
      </c>
      <c r="G48">
        <v>1.9535500000000001E-2</v>
      </c>
      <c r="H48">
        <v>2.7453700000000001E-2</v>
      </c>
      <c r="I48">
        <v>4.4336500000000001E-2</v>
      </c>
      <c r="J48">
        <v>7.8348600000000004E-2</v>
      </c>
      <c r="K48">
        <v>0.145511</v>
      </c>
      <c r="L48">
        <v>0.27934399999999998</v>
      </c>
      <c r="M48">
        <v>0.54703599999999997</v>
      </c>
      <c r="N48">
        <v>1.09884</v>
      </c>
      <c r="O48">
        <v>2.1861199999999998</v>
      </c>
      <c r="P48">
        <v>4.3606400000000001</v>
      </c>
      <c r="Q48">
        <v>9.1417000000000009E-3</v>
      </c>
      <c r="R48">
        <v>9.2187999999999992E-3</v>
      </c>
      <c r="S48">
        <v>9.2192999999999997E-3</v>
      </c>
      <c r="T48">
        <v>9.3790000000000002E-3</v>
      </c>
      <c r="U48">
        <v>9.6740999999999997E-3</v>
      </c>
      <c r="V48">
        <v>1.17879E-2</v>
      </c>
      <c r="W48">
        <v>1.55056E-2</v>
      </c>
      <c r="X48">
        <v>2.41117E-2</v>
      </c>
      <c r="Y48">
        <v>4.1559499999999999E-2</v>
      </c>
      <c r="Z48">
        <v>7.6180700000000004E-2</v>
      </c>
      <c r="AA48">
        <v>0.14577499999999999</v>
      </c>
      <c r="AB48">
        <v>0.28364499999999998</v>
      </c>
      <c r="AC48">
        <v>0.56880299999999995</v>
      </c>
      <c r="AD48">
        <v>1.12958</v>
      </c>
      <c r="AE48">
        <v>2.2519399999999998</v>
      </c>
      <c r="AF48">
        <v>4.4947100000000004</v>
      </c>
    </row>
    <row r="49" spans="1:32" x14ac:dyDescent="0.25">
      <c r="A49">
        <v>1.2796E-2</v>
      </c>
      <c r="B49">
        <v>1.29815E-2</v>
      </c>
      <c r="C49">
        <v>1.2897799999999999E-2</v>
      </c>
      <c r="D49">
        <v>1.3473000000000001E-2</v>
      </c>
      <c r="E49">
        <v>1.36934E-2</v>
      </c>
      <c r="F49">
        <v>1.5028400000000001E-2</v>
      </c>
      <c r="G49">
        <v>1.8830099999999999E-2</v>
      </c>
      <c r="H49">
        <v>2.7930199999999999E-2</v>
      </c>
      <c r="I49">
        <v>4.41784E-2</v>
      </c>
      <c r="J49">
        <v>7.7849699999999994E-2</v>
      </c>
      <c r="K49">
        <v>0.14532100000000001</v>
      </c>
      <c r="L49">
        <v>0.27857199999999999</v>
      </c>
      <c r="M49">
        <v>0.54707099999999997</v>
      </c>
      <c r="N49">
        <v>1.0986499999999999</v>
      </c>
      <c r="O49">
        <v>2.1854200000000001</v>
      </c>
      <c r="P49">
        <v>4.3594999999999997</v>
      </c>
      <c r="Q49">
        <v>9.1389000000000001E-3</v>
      </c>
      <c r="R49">
        <v>9.332E-3</v>
      </c>
      <c r="S49">
        <v>9.2776999999999998E-3</v>
      </c>
      <c r="T49">
        <v>9.1798000000000001E-3</v>
      </c>
      <c r="U49">
        <v>9.6927000000000003E-3</v>
      </c>
      <c r="V49">
        <v>1.1535E-2</v>
      </c>
      <c r="W49">
        <v>1.5413100000000001E-2</v>
      </c>
      <c r="X49">
        <v>2.4317499999999999E-2</v>
      </c>
      <c r="Y49">
        <v>4.1479099999999998E-2</v>
      </c>
      <c r="Z49">
        <v>7.6128299999999996E-2</v>
      </c>
      <c r="AA49">
        <v>0.145478</v>
      </c>
      <c r="AB49">
        <v>0.28369299999999997</v>
      </c>
      <c r="AC49">
        <v>0.56884500000000005</v>
      </c>
      <c r="AD49">
        <v>1.12947</v>
      </c>
      <c r="AE49">
        <v>2.2521800000000001</v>
      </c>
      <c r="AF49">
        <v>4.4961700000000002</v>
      </c>
    </row>
    <row r="50" spans="1:32" x14ac:dyDescent="0.25">
      <c r="A50">
        <v>1.291E-2</v>
      </c>
      <c r="B50">
        <v>1.27615E-2</v>
      </c>
      <c r="C50">
        <v>1.29681E-2</v>
      </c>
      <c r="D50">
        <v>1.29829E-2</v>
      </c>
      <c r="E50">
        <v>1.3619300000000001E-2</v>
      </c>
      <c r="F50">
        <v>1.5585699999999999E-2</v>
      </c>
      <c r="G50">
        <v>1.8917099999999999E-2</v>
      </c>
      <c r="H50">
        <v>2.7727600000000002E-2</v>
      </c>
      <c r="I50">
        <v>4.40925E-2</v>
      </c>
      <c r="J50">
        <v>7.8231200000000001E-2</v>
      </c>
      <c r="K50">
        <v>0.145839</v>
      </c>
      <c r="L50">
        <v>0.27919699999999997</v>
      </c>
      <c r="M50">
        <v>0.546848</v>
      </c>
      <c r="N50">
        <v>1.0985100000000001</v>
      </c>
      <c r="O50">
        <v>2.1859899999999999</v>
      </c>
      <c r="P50">
        <v>4.3594600000000003</v>
      </c>
      <c r="Q50">
        <v>9.0846E-3</v>
      </c>
      <c r="R50">
        <v>9.1816999999999992E-3</v>
      </c>
      <c r="S50">
        <v>9.3147000000000004E-3</v>
      </c>
      <c r="T50">
        <v>9.3266000000000009E-3</v>
      </c>
      <c r="U50">
        <v>9.6553999999999997E-3</v>
      </c>
      <c r="V50">
        <v>1.1463599999999999E-2</v>
      </c>
      <c r="W50">
        <v>1.5442900000000001E-2</v>
      </c>
      <c r="X50">
        <v>2.4183900000000001E-2</v>
      </c>
      <c r="Y50">
        <v>4.1528200000000001E-2</v>
      </c>
      <c r="Z50">
        <v>7.5973799999999994E-2</v>
      </c>
      <c r="AA50">
        <v>0.146065</v>
      </c>
      <c r="AB50">
        <v>0.28367999999999999</v>
      </c>
      <c r="AC50">
        <v>0.56903099999999995</v>
      </c>
      <c r="AD50">
        <v>1.1296999999999999</v>
      </c>
      <c r="AE50">
        <v>2.2517100000000001</v>
      </c>
      <c r="AF50">
        <v>4.4959600000000002</v>
      </c>
    </row>
    <row r="51" spans="1:32" x14ac:dyDescent="0.25">
      <c r="A51">
        <v>1.28401E-2</v>
      </c>
      <c r="B51">
        <v>1.2974599999999999E-2</v>
      </c>
      <c r="C51">
        <v>1.3073400000000001E-2</v>
      </c>
      <c r="D51">
        <v>1.3192300000000001E-2</v>
      </c>
      <c r="E51">
        <v>1.36528E-2</v>
      </c>
      <c r="F51">
        <v>1.54468E-2</v>
      </c>
      <c r="G51">
        <v>1.8906800000000001E-2</v>
      </c>
      <c r="H51">
        <v>2.7872500000000001E-2</v>
      </c>
      <c r="I51">
        <v>4.4323500000000002E-2</v>
      </c>
      <c r="J51">
        <v>7.7926899999999993E-2</v>
      </c>
      <c r="K51">
        <v>0.14560500000000001</v>
      </c>
      <c r="L51">
        <v>0.27886699999999998</v>
      </c>
      <c r="M51">
        <v>0.54725900000000005</v>
      </c>
      <c r="N51">
        <v>1.09846</v>
      </c>
      <c r="O51">
        <v>2.1856399999999998</v>
      </c>
      <c r="P51">
        <v>4.3600000000000003</v>
      </c>
      <c r="Q51">
        <v>9.1176E-3</v>
      </c>
      <c r="R51">
        <v>9.5478000000000004E-3</v>
      </c>
      <c r="S51">
        <v>8.9765000000000001E-3</v>
      </c>
      <c r="T51">
        <v>9.3617000000000006E-3</v>
      </c>
      <c r="U51">
        <v>9.7484000000000008E-3</v>
      </c>
      <c r="V51">
        <v>1.14783E-2</v>
      </c>
      <c r="W51">
        <v>1.5362799999999999E-2</v>
      </c>
      <c r="X51">
        <v>2.42613E-2</v>
      </c>
      <c r="Y51">
        <v>4.1552199999999997E-2</v>
      </c>
      <c r="Z51">
        <v>7.6341199999999998E-2</v>
      </c>
      <c r="AA51">
        <v>0.145565</v>
      </c>
      <c r="AB51">
        <v>0.28345599999999999</v>
      </c>
      <c r="AC51">
        <v>0.56893700000000003</v>
      </c>
      <c r="AD51">
        <v>1.12948</v>
      </c>
      <c r="AE51">
        <v>2.25177</v>
      </c>
      <c r="AF51">
        <v>4.4959800000000003</v>
      </c>
    </row>
    <row r="52" spans="1:32" x14ac:dyDescent="0.25">
      <c r="A52">
        <f>SUBTOTAL(101,x__2[minMaxPar_50_15.txt])</f>
        <v>1.2986631999999998E-2</v>
      </c>
      <c r="B52">
        <f>SUBTOTAL(101,x__2[minMaxPar_50_16.txt])</f>
        <v>1.3005298000000005E-2</v>
      </c>
      <c r="C52">
        <f>SUBTOTAL(101,x__2[minMaxPar_50_17.txt])</f>
        <v>1.3055362000000004E-2</v>
      </c>
      <c r="D52">
        <f>SUBTOTAL(101,x__2[minMaxPar_50_18.txt])</f>
        <v>1.3235490000000003E-2</v>
      </c>
      <c r="E52">
        <f>SUBTOTAL(101,x__2[minMaxPar_50_19.txt])</f>
        <v>1.3626338000000002E-2</v>
      </c>
      <c r="F52">
        <f>SUBTOTAL(101,x__2[minMaxPar_50_20.txt])</f>
        <v>1.5509504000000007E-2</v>
      </c>
      <c r="G52">
        <f>SUBTOTAL(101,x__2[minMaxPar_50_21.txt])</f>
        <v>1.9154846E-2</v>
      </c>
      <c r="H52">
        <f>SUBTOTAL(101,x__2[minMaxPar_50_22.txt])</f>
        <v>2.7720553999999998E-2</v>
      </c>
      <c r="I52">
        <f>SUBTOTAL(101,x__2[minMaxPar_50_23.txt])</f>
        <v>4.4442053999999995E-2</v>
      </c>
      <c r="J52">
        <f>SUBTOTAL(101,x__2[minMaxPar_50_24.txt])</f>
        <v>7.8077848000000005E-2</v>
      </c>
      <c r="K52">
        <f>SUBTOTAL(101,x__2[minMaxPar_50_25.txt])</f>
        <v>0.14537173999999997</v>
      </c>
      <c r="L52">
        <f>SUBTOTAL(101,x__2[minMaxPar_50_26.txt])</f>
        <v>0.27917985999999995</v>
      </c>
      <c r="M52">
        <f>SUBTOTAL(101,x__2[minMaxPar_50_27.txt])</f>
        <v>0.54708221999999995</v>
      </c>
      <c r="N52">
        <f>SUBTOTAL(101,x__2[minMaxPar_50_28.txt])</f>
        <v>1.0987540000000002</v>
      </c>
      <c r="O52">
        <f>SUBTOTAL(101,x__2[minMaxPar_50_29.txt])</f>
        <v>2.1858873999999999</v>
      </c>
      <c r="P52">
        <f>SUBTOTAL(101,x__2[minMaxPar_50_30.txt])</f>
        <v>4.3599582000000012</v>
      </c>
      <c r="Q52">
        <f>SUBTOTAL(101,x__2[montePar_50_15.txt])</f>
        <v>9.7073499999999983E-3</v>
      </c>
      <c r="R52">
        <f>SUBTOTAL(101,x__2[montePar_50_16.txt])</f>
        <v>9.1796240000000008E-3</v>
      </c>
      <c r="S52">
        <f>SUBTOTAL(101,x__2[montePar_50_17.txt])</f>
        <v>9.2385620000000005E-3</v>
      </c>
      <c r="T52">
        <f>SUBTOTAL(101,x__2[montePar_50_18.txt])</f>
        <v>9.3521720000000006E-3</v>
      </c>
      <c r="U52">
        <f>SUBTOTAL(101,x__2[montePar_50_19.txt])</f>
        <v>9.826698E-3</v>
      </c>
      <c r="V52">
        <f>SUBTOTAL(101,x__2[montePar_50_20.txt])</f>
        <v>1.1586144E-2</v>
      </c>
      <c r="W52">
        <f>SUBTOTAL(101,x__2[montePar_50_21.txt])</f>
        <v>1.5552710000000008E-2</v>
      </c>
      <c r="X52">
        <f>SUBTOTAL(101,x__2[montePar_50_22.txt])</f>
        <v>2.4153029999999992E-2</v>
      </c>
      <c r="Y52">
        <f>SUBTOTAL(101,x__2[montePar_50_23.txt])</f>
        <v>4.1725691999999981E-2</v>
      </c>
      <c r="Z52">
        <f>SUBTOTAL(101,x__2[montePar_50_24.txt])</f>
        <v>7.619964600000001E-2</v>
      </c>
      <c r="AA52">
        <f>SUBTOTAL(101,x__2[montePar_50_25.txt])</f>
        <v>0.14558070000000001</v>
      </c>
      <c r="AB52">
        <f>SUBTOTAL(101,x__2[montePar_50_26.txt])</f>
        <v>0.28369853999999994</v>
      </c>
      <c r="AC52">
        <f>SUBTOTAL(101,x__2[montePar_50_27.txt])</f>
        <v>0.56295077999999998</v>
      </c>
      <c r="AD52">
        <f>SUBTOTAL(101,x__2[montePar_50_28.txt])</f>
        <v>1.1296053999999998</v>
      </c>
      <c r="AE52">
        <f>SUBTOTAL(101,x__2[montePar_50_29.txt])</f>
        <v>2.2516362000000001</v>
      </c>
      <c r="AF52">
        <f>SUBTOTAL(101,x__2[montePar_50_30.txt])</f>
        <v>4.4955701999999995</v>
      </c>
    </row>
    <row r="53" spans="1:32" x14ac:dyDescent="0.25">
      <c r="A53">
        <f>_xlfn.STDEV.P(x__2[minMaxPar_50_15.txt])</f>
        <v>4.0203934953683321E-4</v>
      </c>
      <c r="B53">
        <f>_xlfn.STDEV.P(x__2[minMaxPar_50_16.txt])</f>
        <v>3.0483685964134976E-4</v>
      </c>
      <c r="C53">
        <f>_xlfn.STDEV.P(x__2[minMaxPar_50_17.txt])</f>
        <v>2.7952985378309776E-4</v>
      </c>
      <c r="D53">
        <f>_xlfn.STDEV.P(x__2[minMaxPar_50_18.txt])</f>
        <v>3.5403237380217059E-4</v>
      </c>
      <c r="E53">
        <f>_xlfn.STDEV.P(x__2[minMaxPar_50_19.txt])</f>
        <v>3.4811229790974047E-4</v>
      </c>
      <c r="F53">
        <f>_xlfn.STDEV.P(x__2[minMaxPar_50_20.txt])</f>
        <v>6.4988902497580307E-4</v>
      </c>
      <c r="G53">
        <f>_xlfn.STDEV.P(x__2[minMaxPar_50_21.txt])</f>
        <v>4.2783773709667079E-4</v>
      </c>
      <c r="H53">
        <f>_xlfn.STDEV.P(x__2[minMaxPar_50_22.txt])</f>
        <v>5.5061404820799863E-4</v>
      </c>
      <c r="I53">
        <f>_xlfn.STDEV.P(x__2[minMaxPar_50_23.txt])</f>
        <v>3.2017280659668774E-4</v>
      </c>
      <c r="J53">
        <f>_xlfn.STDEV.P(x__2[minMaxPar_50_24.txt])</f>
        <v>2.7114581556055825E-4</v>
      </c>
      <c r="K53">
        <f>_xlfn.STDEV.P(x__2[minMaxPar_50_25.txt])</f>
        <v>2.7033459342082008E-4</v>
      </c>
      <c r="L53">
        <f>_xlfn.STDEV.P(x__2[minMaxPar_50_26.txt])</f>
        <v>3.0945940024501285E-4</v>
      </c>
      <c r="M53">
        <f>_xlfn.STDEV.P(x__2[minMaxPar_50_27.txt])</f>
        <v>2.9816923315459755E-4</v>
      </c>
      <c r="N53">
        <f>_xlfn.STDEV.P(x__2[minMaxPar_50_28.txt])</f>
        <v>3.0319630604610896E-4</v>
      </c>
      <c r="O53">
        <f>_xlfn.STDEV.P(x__2[minMaxPar_50_29.txt])</f>
        <v>4.3854217585085953E-4</v>
      </c>
      <c r="P53">
        <f>_xlfn.STDEV.P(x__2[minMaxPar_50_30.txt])</f>
        <v>6.3225213325063278E-4</v>
      </c>
      <c r="Q53">
        <f>_xlfn.STDEV.P(x__2[montePar_50_15.txt])</f>
        <v>9.013753449590245E-4</v>
      </c>
      <c r="R53">
        <f>_xlfn.STDEV.P(x__2[montePar_50_16.txt])</f>
        <v>1.6750340958917825E-4</v>
      </c>
      <c r="S53">
        <f>_xlfn.STDEV.P(x__2[montePar_50_17.txt])</f>
        <v>1.7717398103559112E-4</v>
      </c>
      <c r="T53">
        <f>_xlfn.STDEV.P(x__2[montePar_50_18.txt])</f>
        <v>1.0443482568568786E-4</v>
      </c>
      <c r="U53">
        <f>_xlfn.STDEV.P(x__2[montePar_50_19.txt])</f>
        <v>1.5824195460117398E-4</v>
      </c>
      <c r="V53">
        <f>_xlfn.STDEV.P(x__2[montePar_50_20.txt])</f>
        <v>1.3063542576192716E-4</v>
      </c>
      <c r="W53">
        <f>_xlfn.STDEV.P(x__2[montePar_50_21.txt])</f>
        <v>1.6009543809865421E-4</v>
      </c>
      <c r="X53">
        <f>_xlfn.STDEV.P(x__2[montePar_50_22.txt])</f>
        <v>1.7337896902450427E-4</v>
      </c>
      <c r="Y53">
        <f>_xlfn.STDEV.P(x__2[montePar_50_23.txt])</f>
        <v>9.4852647086731345E-4</v>
      </c>
      <c r="Z53">
        <f>_xlfn.STDEV.P(x__2[montePar_50_24.txt])</f>
        <v>1.8342353525106799E-4</v>
      </c>
      <c r="AA53">
        <f>_xlfn.STDEV.P(x__2[montePar_50_25.txt])</f>
        <v>2.7227745040674843E-4</v>
      </c>
      <c r="AB53">
        <f>_xlfn.STDEV.P(x__2[montePar_50_26.txt])</f>
        <v>1.6687710567960069E-4</v>
      </c>
      <c r="AC53">
        <f>_xlfn.STDEV.P(x__2[montePar_50_27.txt])</f>
        <v>3.8652749309201809E-3</v>
      </c>
      <c r="AD53">
        <f>_xlfn.STDEV.P(x__2[montePar_50_28.txt])</f>
        <v>2.576991268902467E-4</v>
      </c>
      <c r="AE53">
        <f>_xlfn.STDEV.P(x__2[montePar_50_29.txt])</f>
        <v>3.2931984452808983E-4</v>
      </c>
      <c r="AF53">
        <f>_xlfn.STDEV.P(x__2[montePar_50_30.txt])</f>
        <v>5.9838612951840947E-4</v>
      </c>
    </row>
    <row r="54" spans="1:32" x14ac:dyDescent="0.25">
      <c r="A54" s="3">
        <f>A53/x__2[[#Totals],[minMaxPar_50_15.txt]]</f>
        <v>3.095793809640816E-2</v>
      </c>
      <c r="B54" s="3">
        <f>B53/x__2[[#Totals],[minMaxPar_50_16.txt]]</f>
        <v>2.343943673119598E-2</v>
      </c>
      <c r="C54" s="3">
        <f>C53/x__2[[#Totals],[minMaxPar_50_17.txt]]</f>
        <v>2.1411114742210722E-2</v>
      </c>
      <c r="D54" s="3">
        <f>D53/x__2[[#Totals],[minMaxPar_50_18.txt]]</f>
        <v>2.6748716806266372E-2</v>
      </c>
      <c r="E54" s="3">
        <f>E53/x__2[[#Totals],[minMaxPar_50_19.txt]]</f>
        <v>2.5547017688078811E-2</v>
      </c>
      <c r="F54" s="3">
        <f>F53/x__2[[#Totals],[minMaxPar_50_20.txt]]</f>
        <v>4.1902631120621446E-2</v>
      </c>
      <c r="G54" s="3">
        <f>G53/x__2[[#Totals],[minMaxPar_50_21.txt]]</f>
        <v>2.2335744025124022E-2</v>
      </c>
      <c r="H54" s="3">
        <f>H53/x__2[[#Totals],[minMaxPar_50_22.txt]]</f>
        <v>1.9863024678655365E-2</v>
      </c>
      <c r="I54" s="3">
        <f>I53/x__2[[#Totals],[minMaxPar_50_23.txt]]</f>
        <v>7.2042756303902552E-3</v>
      </c>
      <c r="J54" s="3">
        <f>J53/x__2[[#Totals],[minMaxPar_50_24.txt]]</f>
        <v>3.4727624096473333E-3</v>
      </c>
      <c r="K54" s="3">
        <f>K53/x__2[[#Totals],[minMaxPar_50_25.txt]]</f>
        <v>1.8596089819164312E-3</v>
      </c>
      <c r="L54" s="3">
        <f>L53/x__2[[#Totals],[minMaxPar_50_26.txt]]</f>
        <v>1.1084588990230631E-3</v>
      </c>
      <c r="M54" s="3">
        <f>M53/x__2[[#Totals],[minMaxPar_50_27.txt]]</f>
        <v>5.4501722456744728E-4</v>
      </c>
      <c r="N54" s="3">
        <f>N53/x__2[[#Totals],[minMaxPar_50_28.txt]]</f>
        <v>2.759455765768397E-4</v>
      </c>
      <c r="O54" s="3">
        <f>O53/x__2[[#Totals],[minMaxPar_50_29.txt]]</f>
        <v>2.0062432120284858E-4</v>
      </c>
      <c r="P54" s="3">
        <f>P53/x__2[[#Totals],[minMaxPar_50_30.txt]]</f>
        <v>1.4501334743315488E-4</v>
      </c>
      <c r="Q54" s="3">
        <f>Q53/x__2[[#Totals],[montePar_50_15.txt]]</f>
        <v>9.285493414361537E-2</v>
      </c>
      <c r="R54" s="3">
        <f>R53/x__2[[#Totals],[montePar_50_16.txt]]</f>
        <v>1.8247306162995153E-2</v>
      </c>
      <c r="S54" s="3">
        <f>S53/x__2[[#Totals],[montePar_50_17.txt]]</f>
        <v>1.9177657847140185E-2</v>
      </c>
      <c r="T54" s="3">
        <f>T53/x__2[[#Totals],[montePar_50_18.txt]]</f>
        <v>1.1166906007041771E-2</v>
      </c>
      <c r="U54" s="3">
        <f>U53/x__2[[#Totals],[montePar_50_19.txt]]</f>
        <v>1.6103268320770005E-2</v>
      </c>
      <c r="V54" s="3">
        <f>V53/x__2[[#Totals],[montePar_50_20.txt]]</f>
        <v>1.1275142598083295E-2</v>
      </c>
      <c r="W54" s="3">
        <f>W53/x__2[[#Totals],[montePar_50_21.txt]]</f>
        <v>1.0293732609857326E-2</v>
      </c>
      <c r="X54" s="3">
        <f>X53/x__2[[#Totals],[montePar_50_22.txt]]</f>
        <v>7.1783527377105201E-3</v>
      </c>
      <c r="Y54" s="3">
        <f>Y53/x__2[[#Totals],[montePar_50_23.txt]]</f>
        <v>2.2732432355281582E-2</v>
      </c>
      <c r="Z54" s="3">
        <f>Z53/x__2[[#Totals],[montePar_50_24.txt]]</f>
        <v>2.4071441913400488E-3</v>
      </c>
      <c r="AA54" s="3">
        <f>AA53/x__2[[#Totals],[montePar_50_25.txt]]</f>
        <v>1.8702853496840475E-3</v>
      </c>
      <c r="AB54" s="3">
        <f>AB53/x__2[[#Totals],[montePar_50_26.txt]]</f>
        <v>5.8821982545134255E-4</v>
      </c>
      <c r="AC54" s="3">
        <f>AC53/x__2[[#Totals],[montePar_50_27.txt]]</f>
        <v>6.8660974782203538E-3</v>
      </c>
      <c r="AD54" s="3">
        <f>AD53/x__2[[#Totals],[montePar_50_28.txt]]</f>
        <v>2.2813198917980275E-4</v>
      </c>
      <c r="AE54" s="3">
        <f>AE53/x__2[[#Totals],[montePar_50_29.txt]]</f>
        <v>1.462580165162071E-4</v>
      </c>
      <c r="AF54" s="3">
        <f>AF53/x__2[[#Totals],[montePar_50_30.txt]]</f>
        <v>1.3310572472395371E-4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3D8E7-6CAC-4B35-BBAD-9A0168C80242}">
  <dimension ref="A1:AF54"/>
  <sheetViews>
    <sheetView topLeftCell="A4" workbookViewId="0">
      <selection activeCell="P52" sqref="A52:P54"/>
    </sheetView>
  </sheetViews>
  <sheetFormatPr defaultRowHeight="15" x14ac:dyDescent="0.25"/>
  <cols>
    <col min="1" max="16" width="22.7109375" bestFit="1" customWidth="1"/>
    <col min="17" max="32" width="21.28515625" bestFit="1" customWidth="1"/>
  </cols>
  <sheetData>
    <row r="1" spans="1:3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</row>
    <row r="2" spans="1:32" x14ac:dyDescent="0.25">
      <c r="A2">
        <v>1.31802E-2</v>
      </c>
      <c r="B2">
        <v>1.32779E-2</v>
      </c>
      <c r="C2">
        <v>1.32947E-2</v>
      </c>
      <c r="D2">
        <v>1.3520900000000001E-2</v>
      </c>
      <c r="E2">
        <v>1.357E-2</v>
      </c>
      <c r="F2">
        <v>1.3441399999999999E-2</v>
      </c>
      <c r="G2">
        <v>1.45989E-2</v>
      </c>
      <c r="H2">
        <v>1.41624E-2</v>
      </c>
      <c r="I2">
        <v>1.57143E-2</v>
      </c>
      <c r="J2">
        <v>2.04219E-2</v>
      </c>
      <c r="K2">
        <v>2.8813100000000001E-2</v>
      </c>
      <c r="L2">
        <v>4.69305E-2</v>
      </c>
      <c r="M2">
        <v>8.3329500000000001E-2</v>
      </c>
      <c r="N2">
        <v>0.155746</v>
      </c>
      <c r="O2">
        <v>0.30274699999999999</v>
      </c>
      <c r="P2">
        <v>0.598854</v>
      </c>
      <c r="Q2">
        <v>1.5148099999999999E-2</v>
      </c>
      <c r="R2">
        <v>9.2890000000000004E-3</v>
      </c>
      <c r="S2">
        <v>9.4062E-3</v>
      </c>
      <c r="T2">
        <v>9.6293999999999998E-3</v>
      </c>
      <c r="U2">
        <v>9.3579000000000006E-3</v>
      </c>
      <c r="V2">
        <v>9.8107999999999997E-3</v>
      </c>
      <c r="W2">
        <v>9.9012000000000006E-3</v>
      </c>
      <c r="X2">
        <v>1.0533499999999999E-2</v>
      </c>
      <c r="Y2">
        <v>1.32269E-2</v>
      </c>
      <c r="Z2">
        <v>1.7731400000000001E-2</v>
      </c>
      <c r="AA2">
        <v>2.9512E-2</v>
      </c>
      <c r="AB2">
        <v>5.2930499999999998E-2</v>
      </c>
      <c r="AC2">
        <v>9.6799700000000002E-2</v>
      </c>
      <c r="AD2">
        <v>0.187223</v>
      </c>
      <c r="AE2">
        <v>0.36821300000000001</v>
      </c>
      <c r="AF2">
        <v>0.73336100000000004</v>
      </c>
    </row>
    <row r="3" spans="1:32" x14ac:dyDescent="0.25">
      <c r="A3">
        <v>1.2845000000000001E-2</v>
      </c>
      <c r="B3">
        <v>1.2740100000000001E-2</v>
      </c>
      <c r="C3">
        <v>1.2967299999999999E-2</v>
      </c>
      <c r="D3">
        <v>1.3591499999999999E-2</v>
      </c>
      <c r="E3">
        <v>1.3340400000000001E-2</v>
      </c>
      <c r="F3">
        <v>1.29523E-2</v>
      </c>
      <c r="G3">
        <v>1.43911E-2</v>
      </c>
      <c r="H3">
        <v>1.3820300000000001E-2</v>
      </c>
      <c r="I3">
        <v>1.55979E-2</v>
      </c>
      <c r="J3">
        <v>2.0491800000000001E-2</v>
      </c>
      <c r="K3">
        <v>2.8494499999999999E-2</v>
      </c>
      <c r="L3">
        <v>4.6701100000000002E-2</v>
      </c>
      <c r="M3">
        <v>8.3608500000000002E-2</v>
      </c>
      <c r="N3">
        <v>0.156282</v>
      </c>
      <c r="O3">
        <v>0.30349700000000002</v>
      </c>
      <c r="P3">
        <v>0.59836599999999995</v>
      </c>
      <c r="Q3">
        <v>1.01063E-2</v>
      </c>
      <c r="R3">
        <v>9.0314999999999996E-3</v>
      </c>
      <c r="S3">
        <v>8.9177000000000006E-3</v>
      </c>
      <c r="T3">
        <v>9.1631999999999998E-3</v>
      </c>
      <c r="U3">
        <v>9.4281999999999994E-3</v>
      </c>
      <c r="V3">
        <v>9.2461000000000002E-3</v>
      </c>
      <c r="W3">
        <v>9.3445000000000004E-3</v>
      </c>
      <c r="X3">
        <v>1.06281E-2</v>
      </c>
      <c r="Y3">
        <v>1.3027E-2</v>
      </c>
      <c r="Z3">
        <v>1.7673299999999999E-2</v>
      </c>
      <c r="AA3">
        <v>3.0255600000000001E-2</v>
      </c>
      <c r="AB3">
        <v>5.2387999999999997E-2</v>
      </c>
      <c r="AC3">
        <v>9.7076300000000004E-2</v>
      </c>
      <c r="AD3">
        <v>0.18718000000000001</v>
      </c>
      <c r="AE3">
        <v>0.36826700000000001</v>
      </c>
      <c r="AF3">
        <v>0.73300799999999999</v>
      </c>
    </row>
    <row r="4" spans="1:32" x14ac:dyDescent="0.25">
      <c r="A4">
        <v>1.2908299999999999E-2</v>
      </c>
      <c r="B4">
        <v>1.33931E-2</v>
      </c>
      <c r="C4">
        <v>1.33195E-2</v>
      </c>
      <c r="D4">
        <v>1.36939E-2</v>
      </c>
      <c r="E4">
        <v>1.34363E-2</v>
      </c>
      <c r="F4">
        <v>1.3066899999999999E-2</v>
      </c>
      <c r="G4">
        <v>1.55753E-2</v>
      </c>
      <c r="H4">
        <v>1.42723E-2</v>
      </c>
      <c r="I4">
        <v>1.55671E-2</v>
      </c>
      <c r="J4">
        <v>2.0373700000000002E-2</v>
      </c>
      <c r="K4">
        <v>2.9146100000000001E-2</v>
      </c>
      <c r="L4">
        <v>4.6787500000000003E-2</v>
      </c>
      <c r="M4">
        <v>8.3497799999999997E-2</v>
      </c>
      <c r="N4">
        <v>0.156001</v>
      </c>
      <c r="O4">
        <v>0.30336000000000002</v>
      </c>
      <c r="P4">
        <v>0.598665</v>
      </c>
      <c r="Q4">
        <v>1.00854E-2</v>
      </c>
      <c r="R4">
        <v>8.9592999999999999E-3</v>
      </c>
      <c r="S4">
        <v>9.2505999999999994E-3</v>
      </c>
      <c r="T4">
        <v>1.0152100000000001E-2</v>
      </c>
      <c r="U4">
        <v>9.2197000000000008E-3</v>
      </c>
      <c r="V4">
        <v>9.273E-3</v>
      </c>
      <c r="W4">
        <v>9.5736999999999992E-3</v>
      </c>
      <c r="X4">
        <v>1.02401E-2</v>
      </c>
      <c r="Y4">
        <v>1.32567E-2</v>
      </c>
      <c r="Z4">
        <v>1.7929199999999999E-2</v>
      </c>
      <c r="AA4">
        <v>2.9256799999999999E-2</v>
      </c>
      <c r="AB4">
        <v>5.2516300000000002E-2</v>
      </c>
      <c r="AC4">
        <v>9.6878500000000006E-2</v>
      </c>
      <c r="AD4">
        <v>0.18762899999999999</v>
      </c>
      <c r="AE4">
        <v>0.36818400000000001</v>
      </c>
      <c r="AF4">
        <v>0.73311999999999999</v>
      </c>
    </row>
    <row r="5" spans="1:32" x14ac:dyDescent="0.25">
      <c r="A5">
        <v>1.3414300000000001E-2</v>
      </c>
      <c r="B5">
        <v>1.2983099999999999E-2</v>
      </c>
      <c r="C5">
        <v>1.32429E-2</v>
      </c>
      <c r="D5">
        <v>1.37065E-2</v>
      </c>
      <c r="E5">
        <v>1.31275E-2</v>
      </c>
      <c r="F5">
        <v>1.3494900000000001E-2</v>
      </c>
      <c r="G5">
        <v>1.49389E-2</v>
      </c>
      <c r="H5">
        <v>1.4506700000000001E-2</v>
      </c>
      <c r="I5">
        <v>1.5267599999999999E-2</v>
      </c>
      <c r="J5">
        <v>2.1349900000000002E-2</v>
      </c>
      <c r="K5">
        <v>2.84756E-2</v>
      </c>
      <c r="L5">
        <v>4.6593799999999998E-2</v>
      </c>
      <c r="M5">
        <v>8.32402E-2</v>
      </c>
      <c r="N5">
        <v>0.15658</v>
      </c>
      <c r="O5">
        <v>0.30344100000000002</v>
      </c>
      <c r="P5">
        <v>0.59878600000000004</v>
      </c>
      <c r="Q5">
        <v>9.9512000000000003E-3</v>
      </c>
      <c r="R5">
        <v>8.9966000000000004E-3</v>
      </c>
      <c r="S5">
        <v>8.9590999999999994E-3</v>
      </c>
      <c r="T5">
        <v>9.1175000000000006E-3</v>
      </c>
      <c r="U5">
        <v>9.2189000000000004E-3</v>
      </c>
      <c r="V5">
        <v>9.2265999999999997E-3</v>
      </c>
      <c r="W5">
        <v>9.6176999999999999E-3</v>
      </c>
      <c r="X5">
        <v>1.00967E-2</v>
      </c>
      <c r="Y5">
        <v>1.2994199999999999E-2</v>
      </c>
      <c r="Z5">
        <v>1.8279299999999998E-2</v>
      </c>
      <c r="AA5">
        <v>2.89009E-2</v>
      </c>
      <c r="AB5">
        <v>5.2414599999999999E-2</v>
      </c>
      <c r="AC5">
        <v>9.6847799999999998E-2</v>
      </c>
      <c r="AD5">
        <v>0.18723100000000001</v>
      </c>
      <c r="AE5">
        <v>0.36823600000000001</v>
      </c>
      <c r="AF5">
        <v>0.73310699999999995</v>
      </c>
    </row>
    <row r="6" spans="1:32" x14ac:dyDescent="0.25">
      <c r="A6">
        <v>1.30251E-2</v>
      </c>
      <c r="B6">
        <v>1.3006800000000001E-2</v>
      </c>
      <c r="C6">
        <v>1.3780199999999999E-2</v>
      </c>
      <c r="D6">
        <v>1.43228E-2</v>
      </c>
      <c r="E6">
        <v>1.3400799999999999E-2</v>
      </c>
      <c r="F6">
        <v>1.3719E-2</v>
      </c>
      <c r="G6">
        <v>1.41948E-2</v>
      </c>
      <c r="H6">
        <v>1.4307E-2</v>
      </c>
      <c r="I6">
        <v>1.5695000000000001E-2</v>
      </c>
      <c r="J6">
        <v>2.0409299999999998E-2</v>
      </c>
      <c r="K6">
        <v>2.8550599999999999E-2</v>
      </c>
      <c r="L6">
        <v>4.6484499999999998E-2</v>
      </c>
      <c r="M6">
        <v>8.3423200000000003E-2</v>
      </c>
      <c r="N6">
        <v>0.16139999999999999</v>
      </c>
      <c r="O6">
        <v>0.30333599999999999</v>
      </c>
      <c r="P6">
        <v>0.59926599999999997</v>
      </c>
      <c r="Q6">
        <v>1.00064E-2</v>
      </c>
      <c r="R6">
        <v>9.0901000000000003E-3</v>
      </c>
      <c r="S6">
        <v>8.9431000000000007E-3</v>
      </c>
      <c r="T6">
        <v>9.0805999999999994E-3</v>
      </c>
      <c r="U6">
        <v>9.2504000000000006E-3</v>
      </c>
      <c r="V6">
        <v>9.1566000000000008E-3</v>
      </c>
      <c r="W6">
        <v>9.3767E-3</v>
      </c>
      <c r="X6">
        <v>1.03114E-2</v>
      </c>
      <c r="Y6">
        <v>1.2988E-2</v>
      </c>
      <c r="Z6">
        <v>1.8471499999999998E-2</v>
      </c>
      <c r="AA6">
        <v>2.9347100000000001E-2</v>
      </c>
      <c r="AB6">
        <v>5.2351799999999997E-2</v>
      </c>
      <c r="AC6">
        <v>9.6740599999999996E-2</v>
      </c>
      <c r="AD6">
        <v>0.18746499999999999</v>
      </c>
      <c r="AE6">
        <v>0.36803000000000002</v>
      </c>
      <c r="AF6">
        <v>0.73290900000000003</v>
      </c>
    </row>
    <row r="7" spans="1:32" x14ac:dyDescent="0.25">
      <c r="A7">
        <v>1.35777E-2</v>
      </c>
      <c r="B7">
        <v>1.29832E-2</v>
      </c>
      <c r="C7">
        <v>1.30642E-2</v>
      </c>
      <c r="D7">
        <v>1.38464E-2</v>
      </c>
      <c r="E7">
        <v>1.30429E-2</v>
      </c>
      <c r="F7">
        <v>1.3627800000000001E-2</v>
      </c>
      <c r="G7">
        <v>1.4463699999999999E-2</v>
      </c>
      <c r="H7">
        <v>1.4463500000000001E-2</v>
      </c>
      <c r="I7">
        <v>1.53762E-2</v>
      </c>
      <c r="J7">
        <v>2.0273099999999999E-2</v>
      </c>
      <c r="K7">
        <v>2.8867199999999999E-2</v>
      </c>
      <c r="L7">
        <v>4.6149900000000001E-2</v>
      </c>
      <c r="M7">
        <v>8.3191699999999993E-2</v>
      </c>
      <c r="N7">
        <v>0.15657699999999999</v>
      </c>
      <c r="O7">
        <v>0.30366799999999999</v>
      </c>
      <c r="P7">
        <v>0.59956399999999999</v>
      </c>
      <c r="Q7">
        <v>9.8779999999999996E-3</v>
      </c>
      <c r="R7">
        <v>9.0919E-3</v>
      </c>
      <c r="S7">
        <v>8.7998E-3</v>
      </c>
      <c r="T7">
        <v>9.0629000000000005E-3</v>
      </c>
      <c r="U7">
        <v>9.2634999999999992E-3</v>
      </c>
      <c r="V7">
        <v>9.4722000000000001E-3</v>
      </c>
      <c r="W7">
        <v>9.4626999999999992E-3</v>
      </c>
      <c r="X7">
        <v>1.02562E-2</v>
      </c>
      <c r="Y7">
        <v>1.29686E-2</v>
      </c>
      <c r="Z7">
        <v>1.8394500000000001E-2</v>
      </c>
      <c r="AA7">
        <v>2.90656E-2</v>
      </c>
      <c r="AB7">
        <v>5.22269E-2</v>
      </c>
      <c r="AC7">
        <v>9.6528100000000006E-2</v>
      </c>
      <c r="AD7">
        <v>0.18734600000000001</v>
      </c>
      <c r="AE7">
        <v>0.368087</v>
      </c>
      <c r="AF7">
        <v>0.73313300000000003</v>
      </c>
    </row>
    <row r="8" spans="1:32" x14ac:dyDescent="0.25">
      <c r="A8">
        <v>1.2937199999999999E-2</v>
      </c>
      <c r="B8">
        <v>1.321E-2</v>
      </c>
      <c r="C8">
        <v>1.2983099999999999E-2</v>
      </c>
      <c r="D8">
        <v>1.32341E-2</v>
      </c>
      <c r="E8">
        <v>1.3325500000000001E-2</v>
      </c>
      <c r="F8">
        <v>1.3429099999999999E-2</v>
      </c>
      <c r="G8">
        <v>1.42706E-2</v>
      </c>
      <c r="H8">
        <v>1.41688E-2</v>
      </c>
      <c r="I8">
        <v>1.5700200000000001E-2</v>
      </c>
      <c r="J8">
        <v>2.00521E-2</v>
      </c>
      <c r="K8">
        <v>2.8518499999999999E-2</v>
      </c>
      <c r="L8">
        <v>4.6417E-2</v>
      </c>
      <c r="M8">
        <v>8.3436700000000003E-2</v>
      </c>
      <c r="N8">
        <v>0.15720100000000001</v>
      </c>
      <c r="O8">
        <v>0.30368000000000001</v>
      </c>
      <c r="P8">
        <v>0.59918700000000003</v>
      </c>
      <c r="Q8">
        <v>9.9583999999999992E-3</v>
      </c>
      <c r="R8">
        <v>8.9526999999999992E-3</v>
      </c>
      <c r="S8">
        <v>9.0136000000000001E-3</v>
      </c>
      <c r="T8">
        <v>8.9531000000000003E-3</v>
      </c>
      <c r="U8">
        <v>9.1673999999999992E-3</v>
      </c>
      <c r="V8">
        <v>9.2729000000000006E-3</v>
      </c>
      <c r="W8">
        <v>9.1219000000000005E-3</v>
      </c>
      <c r="X8">
        <v>1.0274200000000001E-2</v>
      </c>
      <c r="Y8">
        <v>1.2874099999999999E-2</v>
      </c>
      <c r="Z8">
        <v>1.8774900000000001E-2</v>
      </c>
      <c r="AA8">
        <v>2.9214199999999999E-2</v>
      </c>
      <c r="AB8">
        <v>5.2556899999999997E-2</v>
      </c>
      <c r="AC8">
        <v>9.7038799999999995E-2</v>
      </c>
      <c r="AD8">
        <v>0.18732199999999999</v>
      </c>
      <c r="AE8">
        <v>0.36816199999999999</v>
      </c>
      <c r="AF8">
        <v>0.73296700000000004</v>
      </c>
    </row>
    <row r="9" spans="1:32" x14ac:dyDescent="0.25">
      <c r="A9">
        <v>1.3535500000000001E-2</v>
      </c>
      <c r="B9">
        <v>1.35389E-2</v>
      </c>
      <c r="C9">
        <v>1.31138E-2</v>
      </c>
      <c r="D9">
        <v>1.36315E-2</v>
      </c>
      <c r="E9">
        <v>1.32858E-2</v>
      </c>
      <c r="F9">
        <v>1.3202800000000001E-2</v>
      </c>
      <c r="G9">
        <v>1.3611E-2</v>
      </c>
      <c r="H9">
        <v>1.41259E-2</v>
      </c>
      <c r="I9">
        <v>1.6092100000000002E-2</v>
      </c>
      <c r="J9">
        <v>1.98972E-2</v>
      </c>
      <c r="K9">
        <v>2.88606E-2</v>
      </c>
      <c r="L9">
        <v>4.7856299999999997E-2</v>
      </c>
      <c r="M9">
        <v>8.3568500000000004E-2</v>
      </c>
      <c r="N9">
        <v>0.1575</v>
      </c>
      <c r="O9">
        <v>0.30347400000000002</v>
      </c>
      <c r="P9">
        <v>0.59880599999999995</v>
      </c>
      <c r="Q9">
        <v>9.8244000000000005E-3</v>
      </c>
      <c r="R9">
        <v>9.1239000000000008E-3</v>
      </c>
      <c r="S9">
        <v>9.0492999999999997E-3</v>
      </c>
      <c r="T9">
        <v>8.9329000000000006E-3</v>
      </c>
      <c r="U9">
        <v>9.0620000000000006E-3</v>
      </c>
      <c r="V9">
        <v>9.2387000000000007E-3</v>
      </c>
      <c r="W9">
        <v>9.3675000000000008E-3</v>
      </c>
      <c r="X9">
        <v>1.00661E-2</v>
      </c>
      <c r="Y9">
        <v>1.29528E-2</v>
      </c>
      <c r="Z9">
        <v>1.8589899999999999E-2</v>
      </c>
      <c r="AA9">
        <v>2.8817499999999999E-2</v>
      </c>
      <c r="AB9">
        <v>5.2603299999999999E-2</v>
      </c>
      <c r="AC9">
        <v>9.6821199999999996E-2</v>
      </c>
      <c r="AD9">
        <v>0.18729199999999999</v>
      </c>
      <c r="AE9">
        <v>0.36821100000000001</v>
      </c>
      <c r="AF9">
        <v>0.73316099999999995</v>
      </c>
    </row>
    <row r="10" spans="1:32" x14ac:dyDescent="0.25">
      <c r="A10">
        <v>1.2912399999999999E-2</v>
      </c>
      <c r="B10">
        <v>1.3259699999999999E-2</v>
      </c>
      <c r="C10">
        <v>1.3349400000000001E-2</v>
      </c>
      <c r="D10">
        <v>1.38689E-2</v>
      </c>
      <c r="E10">
        <v>1.3912900000000001E-2</v>
      </c>
      <c r="F10">
        <v>1.33723E-2</v>
      </c>
      <c r="G10">
        <v>1.40067E-2</v>
      </c>
      <c r="H10">
        <v>1.45357E-2</v>
      </c>
      <c r="I10">
        <v>1.5725800000000002E-2</v>
      </c>
      <c r="J10">
        <v>2.07075E-2</v>
      </c>
      <c r="K10">
        <v>2.9150100000000002E-2</v>
      </c>
      <c r="L10">
        <v>4.6663499999999997E-2</v>
      </c>
      <c r="M10">
        <v>8.3331799999999998E-2</v>
      </c>
      <c r="N10">
        <v>0.15784999999999999</v>
      </c>
      <c r="O10">
        <v>0.30332700000000001</v>
      </c>
      <c r="P10">
        <v>0.59883600000000003</v>
      </c>
      <c r="Q10">
        <v>9.8559000000000008E-3</v>
      </c>
      <c r="R10">
        <v>9.1874999999999995E-3</v>
      </c>
      <c r="S10">
        <v>9.1179E-3</v>
      </c>
      <c r="T10">
        <v>9.2671999999999997E-3</v>
      </c>
      <c r="U10">
        <v>9.3410000000000003E-3</v>
      </c>
      <c r="V10">
        <v>9.1261999999999992E-3</v>
      </c>
      <c r="W10">
        <v>9.7800999999999999E-3</v>
      </c>
      <c r="X10">
        <v>1.05547E-2</v>
      </c>
      <c r="Y10">
        <v>1.3089099999999999E-2</v>
      </c>
      <c r="Z10">
        <v>1.8083499999999999E-2</v>
      </c>
      <c r="AA10">
        <v>2.88956E-2</v>
      </c>
      <c r="AB10">
        <v>5.2457299999999998E-2</v>
      </c>
      <c r="AC10">
        <v>9.6556500000000003E-2</v>
      </c>
      <c r="AD10">
        <v>0.18739800000000001</v>
      </c>
      <c r="AE10">
        <v>0.37029800000000002</v>
      </c>
      <c r="AF10">
        <v>0.732881</v>
      </c>
    </row>
    <row r="11" spans="1:32" x14ac:dyDescent="0.25">
      <c r="A11">
        <v>1.3000100000000001E-2</v>
      </c>
      <c r="B11">
        <v>1.3212E-2</v>
      </c>
      <c r="C11">
        <v>1.38437E-2</v>
      </c>
      <c r="D11">
        <v>1.4095099999999999E-2</v>
      </c>
      <c r="E11">
        <v>1.3177899999999999E-2</v>
      </c>
      <c r="F11">
        <v>1.32493E-2</v>
      </c>
      <c r="G11">
        <v>1.53133E-2</v>
      </c>
      <c r="H11">
        <v>1.38712E-2</v>
      </c>
      <c r="I11">
        <v>1.5412500000000001E-2</v>
      </c>
      <c r="J11">
        <v>2.0405800000000002E-2</v>
      </c>
      <c r="K11">
        <v>2.8592200000000002E-2</v>
      </c>
      <c r="L11">
        <v>4.6260000000000003E-2</v>
      </c>
      <c r="M11">
        <v>8.3228300000000005E-2</v>
      </c>
      <c r="N11">
        <v>0.15742200000000001</v>
      </c>
      <c r="O11">
        <v>0.30432700000000001</v>
      </c>
      <c r="P11">
        <v>0.59843000000000002</v>
      </c>
      <c r="Q11">
        <v>1.0067599999999999E-2</v>
      </c>
      <c r="R11">
        <v>9.1199999999999996E-3</v>
      </c>
      <c r="S11">
        <v>9.1185999999999993E-3</v>
      </c>
      <c r="T11">
        <v>9.1199999999999996E-3</v>
      </c>
      <c r="U11">
        <v>9.1009000000000003E-3</v>
      </c>
      <c r="V11">
        <v>9.2277000000000001E-3</v>
      </c>
      <c r="W11">
        <v>9.6346000000000001E-3</v>
      </c>
      <c r="X11">
        <v>1.0181600000000001E-2</v>
      </c>
      <c r="Y11">
        <v>1.2926999999999999E-2</v>
      </c>
      <c r="Z11">
        <v>1.86109E-2</v>
      </c>
      <c r="AA11">
        <v>2.9232600000000001E-2</v>
      </c>
      <c r="AB11">
        <v>5.2232899999999999E-2</v>
      </c>
      <c r="AC11">
        <v>9.6817299999999995E-2</v>
      </c>
      <c r="AD11">
        <v>0.18673000000000001</v>
      </c>
      <c r="AE11">
        <v>0.37052499999999999</v>
      </c>
      <c r="AF11">
        <v>0.73325600000000002</v>
      </c>
    </row>
    <row r="12" spans="1:32" x14ac:dyDescent="0.25">
      <c r="A12">
        <v>1.33612E-2</v>
      </c>
      <c r="B12">
        <v>1.29657E-2</v>
      </c>
      <c r="C12">
        <v>1.3269400000000001E-2</v>
      </c>
      <c r="D12">
        <v>1.35773E-2</v>
      </c>
      <c r="E12">
        <v>1.31641E-2</v>
      </c>
      <c r="F12">
        <v>1.34319E-2</v>
      </c>
      <c r="G12">
        <v>1.35864E-2</v>
      </c>
      <c r="H12">
        <v>1.3791100000000001E-2</v>
      </c>
      <c r="I12">
        <v>1.5530800000000001E-2</v>
      </c>
      <c r="J12">
        <v>2.0040700000000002E-2</v>
      </c>
      <c r="K12">
        <v>2.92959E-2</v>
      </c>
      <c r="L12">
        <v>4.7000699999999999E-2</v>
      </c>
      <c r="M12">
        <v>8.3241899999999994E-2</v>
      </c>
      <c r="N12">
        <v>0.15782599999999999</v>
      </c>
      <c r="O12">
        <v>0.303479</v>
      </c>
      <c r="P12">
        <v>0.598194</v>
      </c>
      <c r="Q12">
        <v>1.0147099999999999E-2</v>
      </c>
      <c r="R12">
        <v>9.0261999999999998E-3</v>
      </c>
      <c r="S12">
        <v>9.0548E-3</v>
      </c>
      <c r="T12">
        <v>9.1777999999999998E-3</v>
      </c>
      <c r="U12">
        <v>9.2143999999999993E-3</v>
      </c>
      <c r="V12">
        <v>9.1105000000000005E-3</v>
      </c>
      <c r="W12">
        <v>9.6846999999999992E-3</v>
      </c>
      <c r="X12">
        <v>1.00325E-2</v>
      </c>
      <c r="Y12">
        <v>1.28536E-2</v>
      </c>
      <c r="Z12">
        <v>1.8201999999999999E-2</v>
      </c>
      <c r="AA12">
        <v>2.9415799999999999E-2</v>
      </c>
      <c r="AB12">
        <v>5.2174100000000001E-2</v>
      </c>
      <c r="AC12">
        <v>9.6584199999999995E-2</v>
      </c>
      <c r="AD12">
        <v>0.18760299999999999</v>
      </c>
      <c r="AE12">
        <v>0.37030600000000002</v>
      </c>
      <c r="AF12">
        <v>0.73315900000000001</v>
      </c>
    </row>
    <row r="13" spans="1:32" x14ac:dyDescent="0.25">
      <c r="A13">
        <v>1.2973800000000001E-2</v>
      </c>
      <c r="B13">
        <v>1.30572E-2</v>
      </c>
      <c r="C13">
        <v>1.39921E-2</v>
      </c>
      <c r="D13">
        <v>1.3749900000000001E-2</v>
      </c>
      <c r="E13">
        <v>1.3497500000000001E-2</v>
      </c>
      <c r="F13">
        <v>1.32558E-2</v>
      </c>
      <c r="G13">
        <v>1.3908999999999999E-2</v>
      </c>
      <c r="H13">
        <v>1.40302E-2</v>
      </c>
      <c r="I13">
        <v>1.6121E-2</v>
      </c>
      <c r="J13">
        <v>2.00924E-2</v>
      </c>
      <c r="K13">
        <v>2.8895799999999999E-2</v>
      </c>
      <c r="L13">
        <v>4.6967399999999999E-2</v>
      </c>
      <c r="M13">
        <v>8.3309999999999995E-2</v>
      </c>
      <c r="N13">
        <v>0.157384</v>
      </c>
      <c r="O13">
        <v>0.30400500000000003</v>
      </c>
      <c r="P13">
        <v>0.59901499999999996</v>
      </c>
      <c r="Q13">
        <v>9.9716000000000006E-3</v>
      </c>
      <c r="R13">
        <v>9.0373999999999993E-3</v>
      </c>
      <c r="S13">
        <v>8.9910000000000007E-3</v>
      </c>
      <c r="T13">
        <v>9.2672999999999991E-3</v>
      </c>
      <c r="U13">
        <v>9.2577000000000007E-3</v>
      </c>
      <c r="V13">
        <v>9.5712999999999996E-3</v>
      </c>
      <c r="W13">
        <v>9.5160000000000002E-3</v>
      </c>
      <c r="X13">
        <v>1.03987E-2</v>
      </c>
      <c r="Y13">
        <v>1.2977600000000001E-2</v>
      </c>
      <c r="Z13">
        <v>1.8473099999999999E-2</v>
      </c>
      <c r="AA13">
        <v>2.85521E-2</v>
      </c>
      <c r="AB13">
        <v>5.2249299999999999E-2</v>
      </c>
      <c r="AC13">
        <v>9.69E-2</v>
      </c>
      <c r="AD13">
        <v>0.187224</v>
      </c>
      <c r="AE13">
        <v>0.370589</v>
      </c>
      <c r="AF13">
        <v>0.73321400000000003</v>
      </c>
    </row>
    <row r="14" spans="1:32" x14ac:dyDescent="0.25">
      <c r="A14">
        <v>1.36358E-2</v>
      </c>
      <c r="B14">
        <v>1.34354E-2</v>
      </c>
      <c r="C14">
        <v>1.38432E-2</v>
      </c>
      <c r="D14">
        <v>1.33394E-2</v>
      </c>
      <c r="E14">
        <v>1.3319900000000001E-2</v>
      </c>
      <c r="F14">
        <v>1.3275500000000001E-2</v>
      </c>
      <c r="G14">
        <v>1.39072E-2</v>
      </c>
      <c r="H14">
        <v>1.4005500000000001E-2</v>
      </c>
      <c r="I14">
        <v>1.6300599999999998E-2</v>
      </c>
      <c r="J14">
        <v>2.1456599999999999E-2</v>
      </c>
      <c r="K14">
        <v>2.8572699999999999E-2</v>
      </c>
      <c r="L14">
        <v>4.68306E-2</v>
      </c>
      <c r="M14">
        <v>8.3241399999999993E-2</v>
      </c>
      <c r="N14">
        <v>0.15726399999999999</v>
      </c>
      <c r="O14">
        <v>0.30378899999999998</v>
      </c>
      <c r="P14">
        <v>0.59887299999999999</v>
      </c>
      <c r="Q14">
        <v>9.9579999999999998E-3</v>
      </c>
      <c r="R14">
        <v>9.1014000000000008E-3</v>
      </c>
      <c r="S14">
        <v>8.9572999999999996E-3</v>
      </c>
      <c r="T14">
        <v>9.0779999999999993E-3</v>
      </c>
      <c r="U14">
        <v>9.0313000000000008E-3</v>
      </c>
      <c r="V14">
        <v>9.1996000000000005E-3</v>
      </c>
      <c r="W14">
        <v>9.6682000000000001E-3</v>
      </c>
      <c r="X14">
        <v>1.04482E-2</v>
      </c>
      <c r="Y14">
        <v>1.31036E-2</v>
      </c>
      <c r="Z14">
        <v>1.80687E-2</v>
      </c>
      <c r="AA14">
        <v>2.90972E-2</v>
      </c>
      <c r="AB14">
        <v>5.2241099999999999E-2</v>
      </c>
      <c r="AC14">
        <v>9.6664299999999995E-2</v>
      </c>
      <c r="AD14">
        <v>0.18687999999999999</v>
      </c>
      <c r="AE14">
        <v>0.37042399999999998</v>
      </c>
      <c r="AF14">
        <v>0.73334900000000003</v>
      </c>
    </row>
    <row r="15" spans="1:32" x14ac:dyDescent="0.25">
      <c r="A15">
        <v>1.2716E-2</v>
      </c>
      <c r="B15">
        <v>1.3661899999999999E-2</v>
      </c>
      <c r="C15">
        <v>1.3053E-2</v>
      </c>
      <c r="D15">
        <v>1.3100199999999999E-2</v>
      </c>
      <c r="E15">
        <v>1.3247800000000001E-2</v>
      </c>
      <c r="F15">
        <v>1.32541E-2</v>
      </c>
      <c r="G15">
        <v>1.42582E-2</v>
      </c>
      <c r="H15">
        <v>1.39997E-2</v>
      </c>
      <c r="I15">
        <v>1.6350799999999999E-2</v>
      </c>
      <c r="J15">
        <v>2.0045899999999998E-2</v>
      </c>
      <c r="K15">
        <v>2.8144700000000002E-2</v>
      </c>
      <c r="L15">
        <v>4.7123499999999999E-2</v>
      </c>
      <c r="M15">
        <v>8.29767E-2</v>
      </c>
      <c r="N15">
        <v>0.15722800000000001</v>
      </c>
      <c r="O15">
        <v>0.30354999999999999</v>
      </c>
      <c r="P15">
        <v>0.59811400000000003</v>
      </c>
      <c r="Q15">
        <v>9.9755999999999994E-3</v>
      </c>
      <c r="R15">
        <v>9.2679000000000008E-3</v>
      </c>
      <c r="S15">
        <v>9.1220999999999993E-3</v>
      </c>
      <c r="T15">
        <v>9.0868000000000008E-3</v>
      </c>
      <c r="U15">
        <v>9.1287999999999994E-3</v>
      </c>
      <c r="V15">
        <v>9.3069999999999993E-3</v>
      </c>
      <c r="W15">
        <v>9.6384000000000001E-3</v>
      </c>
      <c r="X15">
        <v>1.0338099999999999E-2</v>
      </c>
      <c r="Y15">
        <v>1.27812E-2</v>
      </c>
      <c r="Z15">
        <v>1.8558999999999999E-2</v>
      </c>
      <c r="AA15">
        <v>2.9239100000000001E-2</v>
      </c>
      <c r="AB15">
        <v>5.2229299999999999E-2</v>
      </c>
      <c r="AC15">
        <v>9.7223199999999996E-2</v>
      </c>
      <c r="AD15">
        <v>0.187357</v>
      </c>
      <c r="AE15">
        <v>0.370338</v>
      </c>
      <c r="AF15">
        <v>0.73299400000000003</v>
      </c>
    </row>
    <row r="16" spans="1:32" x14ac:dyDescent="0.25">
      <c r="A16">
        <v>1.3384800000000001E-2</v>
      </c>
      <c r="B16">
        <v>1.3102600000000001E-2</v>
      </c>
      <c r="C16">
        <v>1.3412500000000001E-2</v>
      </c>
      <c r="D16">
        <v>1.3304E-2</v>
      </c>
      <c r="E16">
        <v>1.3516800000000001E-2</v>
      </c>
      <c r="F16">
        <v>1.3668400000000001E-2</v>
      </c>
      <c r="G16">
        <v>1.35736E-2</v>
      </c>
      <c r="H16">
        <v>1.42934E-2</v>
      </c>
      <c r="I16">
        <v>1.57231E-2</v>
      </c>
      <c r="J16">
        <v>2.0168100000000001E-2</v>
      </c>
      <c r="K16">
        <v>2.9075199999999999E-2</v>
      </c>
      <c r="L16">
        <v>4.6591100000000003E-2</v>
      </c>
      <c r="M16">
        <v>8.3519200000000002E-2</v>
      </c>
      <c r="N16">
        <v>0.15723200000000001</v>
      </c>
      <c r="O16">
        <v>0.30399199999999998</v>
      </c>
      <c r="P16">
        <v>0.59879300000000002</v>
      </c>
      <c r="Q16">
        <v>9.7744000000000008E-3</v>
      </c>
      <c r="R16">
        <v>9.3401000000000005E-3</v>
      </c>
      <c r="S16">
        <v>8.9037000000000005E-3</v>
      </c>
      <c r="T16">
        <v>9.5387000000000007E-3</v>
      </c>
      <c r="U16">
        <v>9.0089999999999996E-3</v>
      </c>
      <c r="V16">
        <v>9.1640000000000003E-3</v>
      </c>
      <c r="W16">
        <v>9.7643999999999995E-3</v>
      </c>
      <c r="X16">
        <v>1.0437500000000001E-2</v>
      </c>
      <c r="Y16">
        <v>1.28652E-2</v>
      </c>
      <c r="Z16">
        <v>1.84227E-2</v>
      </c>
      <c r="AA16">
        <v>2.9131500000000001E-2</v>
      </c>
      <c r="AB16">
        <v>5.2095599999999999E-2</v>
      </c>
      <c r="AC16">
        <v>9.6444199999999994E-2</v>
      </c>
      <c r="AD16">
        <v>0.187449</v>
      </c>
      <c r="AE16">
        <v>0.370307</v>
      </c>
      <c r="AF16">
        <v>0.73326100000000005</v>
      </c>
    </row>
    <row r="17" spans="1:32" x14ac:dyDescent="0.25">
      <c r="A17">
        <v>1.3162500000000001E-2</v>
      </c>
      <c r="B17">
        <v>1.3236899999999999E-2</v>
      </c>
      <c r="C17">
        <v>1.30527E-2</v>
      </c>
      <c r="D17">
        <v>1.31807E-2</v>
      </c>
      <c r="E17">
        <v>1.3296499999999999E-2</v>
      </c>
      <c r="F17">
        <v>1.39369E-2</v>
      </c>
      <c r="G17">
        <v>1.346E-2</v>
      </c>
      <c r="H17">
        <v>1.4354199999999999E-2</v>
      </c>
      <c r="I17">
        <v>1.6301E-2</v>
      </c>
      <c r="J17">
        <v>2.0617099999999999E-2</v>
      </c>
      <c r="K17">
        <v>2.8304699999999999E-2</v>
      </c>
      <c r="L17">
        <v>4.6530099999999998E-2</v>
      </c>
      <c r="M17">
        <v>8.3280300000000002E-2</v>
      </c>
      <c r="N17">
        <v>0.15735099999999999</v>
      </c>
      <c r="O17">
        <v>0.30337799999999998</v>
      </c>
      <c r="P17">
        <v>0.59691300000000003</v>
      </c>
      <c r="Q17">
        <v>1.00707E-2</v>
      </c>
      <c r="R17">
        <v>9.1327000000000005E-3</v>
      </c>
      <c r="S17">
        <v>8.9826000000000003E-3</v>
      </c>
      <c r="T17">
        <v>9.2084999999999997E-3</v>
      </c>
      <c r="U17">
        <v>9.2371999999999992E-3</v>
      </c>
      <c r="V17">
        <v>9.1701000000000005E-3</v>
      </c>
      <c r="W17">
        <v>9.4879000000000005E-3</v>
      </c>
      <c r="X17">
        <v>1.02912E-2</v>
      </c>
      <c r="Y17">
        <v>1.27896E-2</v>
      </c>
      <c r="Z17">
        <v>1.8411299999999999E-2</v>
      </c>
      <c r="AA17">
        <v>2.9181200000000001E-2</v>
      </c>
      <c r="AB17">
        <v>5.1884600000000003E-2</v>
      </c>
      <c r="AC17">
        <v>9.6560099999999996E-2</v>
      </c>
      <c r="AD17">
        <v>0.18773999999999999</v>
      </c>
      <c r="AE17">
        <v>0.37045600000000001</v>
      </c>
      <c r="AF17">
        <v>0.73328599999999999</v>
      </c>
    </row>
    <row r="18" spans="1:32" x14ac:dyDescent="0.25">
      <c r="A18">
        <v>1.33037E-2</v>
      </c>
      <c r="B18">
        <v>1.30592E-2</v>
      </c>
      <c r="C18">
        <v>1.3150800000000001E-2</v>
      </c>
      <c r="D18">
        <v>1.32044E-2</v>
      </c>
      <c r="E18">
        <v>1.33641E-2</v>
      </c>
      <c r="F18">
        <v>1.3774099999999999E-2</v>
      </c>
      <c r="G18">
        <v>1.31862E-2</v>
      </c>
      <c r="H18">
        <v>1.4281200000000001E-2</v>
      </c>
      <c r="I18">
        <v>1.61216E-2</v>
      </c>
      <c r="J18">
        <v>2.03442E-2</v>
      </c>
      <c r="K18">
        <v>2.84148E-2</v>
      </c>
      <c r="L18">
        <v>4.6920700000000003E-2</v>
      </c>
      <c r="M18">
        <v>8.2943699999999995E-2</v>
      </c>
      <c r="N18">
        <v>0.15779799999999999</v>
      </c>
      <c r="O18">
        <v>0.30350199999999999</v>
      </c>
      <c r="P18">
        <v>0.59877000000000002</v>
      </c>
      <c r="Q18">
        <v>1.0417300000000001E-2</v>
      </c>
      <c r="R18">
        <v>9.0396999999999995E-3</v>
      </c>
      <c r="S18">
        <v>8.9009999999999992E-3</v>
      </c>
      <c r="T18">
        <v>9.0337999999999998E-3</v>
      </c>
      <c r="U18">
        <v>8.9549999999999994E-3</v>
      </c>
      <c r="V18">
        <v>9.1970000000000003E-3</v>
      </c>
      <c r="W18">
        <v>9.3722000000000007E-3</v>
      </c>
      <c r="X18">
        <v>1.03699E-2</v>
      </c>
      <c r="Y18">
        <v>1.2900999999999999E-2</v>
      </c>
      <c r="Z18">
        <v>1.8189299999999999E-2</v>
      </c>
      <c r="AA18">
        <v>2.8784899999999999E-2</v>
      </c>
      <c r="AB18">
        <v>5.2285199999999997E-2</v>
      </c>
      <c r="AC18">
        <v>9.7041699999999995E-2</v>
      </c>
      <c r="AD18">
        <v>0.187774</v>
      </c>
      <c r="AE18">
        <v>0.37025599999999997</v>
      </c>
      <c r="AF18">
        <v>0.73308099999999998</v>
      </c>
    </row>
    <row r="19" spans="1:32" x14ac:dyDescent="0.25">
      <c r="A19">
        <v>1.3006800000000001E-2</v>
      </c>
      <c r="B19">
        <v>1.3364300000000001E-2</v>
      </c>
      <c r="C19">
        <v>1.31156E-2</v>
      </c>
      <c r="D19">
        <v>1.2885499999999999E-2</v>
      </c>
      <c r="E19">
        <v>1.3495699999999999E-2</v>
      </c>
      <c r="F19">
        <v>1.33718E-2</v>
      </c>
      <c r="G19">
        <v>1.3726800000000001E-2</v>
      </c>
      <c r="H19">
        <v>1.6619499999999999E-2</v>
      </c>
      <c r="I19">
        <v>1.5909199999999998E-2</v>
      </c>
      <c r="J19">
        <v>2.0128900000000002E-2</v>
      </c>
      <c r="K19">
        <v>2.86679E-2</v>
      </c>
      <c r="L19">
        <v>4.6115200000000002E-2</v>
      </c>
      <c r="M19">
        <v>8.3285100000000001E-2</v>
      </c>
      <c r="N19">
        <v>0.15731400000000001</v>
      </c>
      <c r="O19">
        <v>0.30335699999999999</v>
      </c>
      <c r="P19">
        <v>0.59897500000000004</v>
      </c>
      <c r="Q19">
        <v>9.6980999999999994E-3</v>
      </c>
      <c r="R19">
        <v>9.1693E-3</v>
      </c>
      <c r="S19">
        <v>9.1307999999999997E-3</v>
      </c>
      <c r="T19">
        <v>9.0046999999999992E-3</v>
      </c>
      <c r="U19">
        <v>9.0068000000000006E-3</v>
      </c>
      <c r="V19">
        <v>9.1029000000000006E-3</v>
      </c>
      <c r="W19">
        <v>9.4342999999999996E-3</v>
      </c>
      <c r="X19">
        <v>1.0307200000000001E-2</v>
      </c>
      <c r="Y19">
        <v>1.2885799999999999E-2</v>
      </c>
      <c r="Z19">
        <v>1.85892E-2</v>
      </c>
      <c r="AA19">
        <v>2.9222499999999998E-2</v>
      </c>
      <c r="AB19">
        <v>5.2210800000000002E-2</v>
      </c>
      <c r="AC19">
        <v>9.64058E-2</v>
      </c>
      <c r="AD19">
        <v>0.186866</v>
      </c>
      <c r="AE19">
        <v>0.37038300000000002</v>
      </c>
      <c r="AF19">
        <v>0.733213</v>
      </c>
    </row>
    <row r="20" spans="1:32" x14ac:dyDescent="0.25">
      <c r="A20">
        <v>1.3397600000000001E-2</v>
      </c>
      <c r="B20">
        <v>1.33758E-2</v>
      </c>
      <c r="C20">
        <v>1.3642700000000001E-2</v>
      </c>
      <c r="D20">
        <v>1.3078899999999999E-2</v>
      </c>
      <c r="E20">
        <v>1.35821E-2</v>
      </c>
      <c r="F20">
        <v>1.38377E-2</v>
      </c>
      <c r="G20">
        <v>1.3539000000000001E-2</v>
      </c>
      <c r="H20">
        <v>1.52727E-2</v>
      </c>
      <c r="I20">
        <v>1.6049500000000001E-2</v>
      </c>
      <c r="J20">
        <v>1.9616100000000001E-2</v>
      </c>
      <c r="K20">
        <v>2.8994800000000001E-2</v>
      </c>
      <c r="L20">
        <v>4.6188699999999999E-2</v>
      </c>
      <c r="M20">
        <v>8.3687899999999996E-2</v>
      </c>
      <c r="N20">
        <v>0.15726899999999999</v>
      </c>
      <c r="O20">
        <v>0.30343300000000001</v>
      </c>
      <c r="P20">
        <v>0.59866399999999997</v>
      </c>
      <c r="Q20">
        <v>9.6875999999999993E-3</v>
      </c>
      <c r="R20">
        <v>9.0408999999999993E-3</v>
      </c>
      <c r="S20">
        <v>9.2072000000000005E-3</v>
      </c>
      <c r="T20">
        <v>9.0775999999999999E-3</v>
      </c>
      <c r="U20">
        <v>9.0538000000000007E-3</v>
      </c>
      <c r="V20">
        <v>9.0910999999999995E-3</v>
      </c>
      <c r="W20">
        <v>9.3769000000000005E-3</v>
      </c>
      <c r="X20">
        <v>1.04533E-2</v>
      </c>
      <c r="Y20">
        <v>1.2806400000000001E-2</v>
      </c>
      <c r="Z20">
        <v>1.76376E-2</v>
      </c>
      <c r="AA20">
        <v>2.9881399999999999E-2</v>
      </c>
      <c r="AB20">
        <v>5.2293600000000003E-2</v>
      </c>
      <c r="AC20">
        <v>9.6398700000000004E-2</v>
      </c>
      <c r="AD20">
        <v>0.18696499999999999</v>
      </c>
      <c r="AE20">
        <v>0.37041600000000002</v>
      </c>
      <c r="AF20">
        <v>0.732464</v>
      </c>
    </row>
    <row r="21" spans="1:32" x14ac:dyDescent="0.25">
      <c r="A21">
        <v>1.2947999999999999E-2</v>
      </c>
      <c r="B21">
        <v>1.31065E-2</v>
      </c>
      <c r="C21">
        <v>1.3739599999999999E-2</v>
      </c>
      <c r="D21">
        <v>1.30966E-2</v>
      </c>
      <c r="E21">
        <v>1.34676E-2</v>
      </c>
      <c r="F21">
        <v>1.3003000000000001E-2</v>
      </c>
      <c r="G21">
        <v>1.3675100000000001E-2</v>
      </c>
      <c r="H21">
        <v>1.41887E-2</v>
      </c>
      <c r="I21">
        <v>1.64429E-2</v>
      </c>
      <c r="J21">
        <v>1.94602E-2</v>
      </c>
      <c r="K21">
        <v>3.00472E-2</v>
      </c>
      <c r="L21">
        <v>4.7265000000000001E-2</v>
      </c>
      <c r="M21">
        <v>8.3288299999999996E-2</v>
      </c>
      <c r="N21">
        <v>0.155667</v>
      </c>
      <c r="O21">
        <v>0.30317100000000002</v>
      </c>
      <c r="P21">
        <v>0.59863599999999995</v>
      </c>
      <c r="Q21">
        <v>1.0012399999999999E-2</v>
      </c>
      <c r="R21">
        <v>9.0685000000000002E-3</v>
      </c>
      <c r="S21">
        <v>9.1993000000000005E-3</v>
      </c>
      <c r="T21">
        <v>9.2856999999999992E-3</v>
      </c>
      <c r="U21">
        <v>8.9751999999999992E-3</v>
      </c>
      <c r="V21">
        <v>9.4190999999999997E-3</v>
      </c>
      <c r="W21">
        <v>9.1143000000000005E-3</v>
      </c>
      <c r="X21">
        <v>1.0275100000000001E-2</v>
      </c>
      <c r="Y21">
        <v>1.28326E-2</v>
      </c>
      <c r="Z21">
        <v>1.85782E-2</v>
      </c>
      <c r="AA21">
        <v>2.9430100000000001E-2</v>
      </c>
      <c r="AB21">
        <v>5.2039200000000001E-2</v>
      </c>
      <c r="AC21">
        <v>9.6694000000000002E-2</v>
      </c>
      <c r="AD21">
        <v>0.18787200000000001</v>
      </c>
      <c r="AE21">
        <v>0.37045800000000001</v>
      </c>
      <c r="AF21">
        <v>0.73305699999999996</v>
      </c>
    </row>
    <row r="22" spans="1:32" x14ac:dyDescent="0.25">
      <c r="A22">
        <v>1.3009400000000001E-2</v>
      </c>
      <c r="B22">
        <v>1.3366299999999999E-2</v>
      </c>
      <c r="C22">
        <v>1.3669499999999999E-2</v>
      </c>
      <c r="D22">
        <v>1.32785E-2</v>
      </c>
      <c r="E22">
        <v>1.3990300000000001E-2</v>
      </c>
      <c r="F22">
        <v>1.31247E-2</v>
      </c>
      <c r="G22">
        <v>1.34019E-2</v>
      </c>
      <c r="H22">
        <v>1.37678E-2</v>
      </c>
      <c r="I22">
        <v>1.57121E-2</v>
      </c>
      <c r="J22">
        <v>1.9751100000000001E-2</v>
      </c>
      <c r="K22">
        <v>2.88991E-2</v>
      </c>
      <c r="L22">
        <v>4.7384200000000001E-2</v>
      </c>
      <c r="M22">
        <v>8.3470600000000006E-2</v>
      </c>
      <c r="N22">
        <v>0.15651999999999999</v>
      </c>
      <c r="O22">
        <v>0.30299399999999999</v>
      </c>
      <c r="P22">
        <v>0.59807500000000002</v>
      </c>
      <c r="Q22">
        <v>9.8230000000000001E-3</v>
      </c>
      <c r="R22">
        <v>8.8850999999999999E-3</v>
      </c>
      <c r="S22">
        <v>8.9508000000000001E-3</v>
      </c>
      <c r="T22">
        <v>9.3203000000000001E-3</v>
      </c>
      <c r="U22">
        <v>8.9160999999999997E-3</v>
      </c>
      <c r="V22">
        <v>9.4304999999999996E-3</v>
      </c>
      <c r="W22">
        <v>9.3325999999999999E-3</v>
      </c>
      <c r="X22">
        <v>1.0021E-2</v>
      </c>
      <c r="Y22">
        <v>1.28042E-2</v>
      </c>
      <c r="Z22">
        <v>1.8464299999999999E-2</v>
      </c>
      <c r="AA22">
        <v>2.9137099999999999E-2</v>
      </c>
      <c r="AB22">
        <v>5.2543600000000003E-2</v>
      </c>
      <c r="AC22">
        <v>9.6886899999999998E-2</v>
      </c>
      <c r="AD22">
        <v>0.187471</v>
      </c>
      <c r="AE22">
        <v>0.37040699999999999</v>
      </c>
      <c r="AF22">
        <v>0.73314699999999999</v>
      </c>
    </row>
    <row r="23" spans="1:32" x14ac:dyDescent="0.25">
      <c r="A23">
        <v>1.31891E-2</v>
      </c>
      <c r="B23">
        <v>1.33537E-2</v>
      </c>
      <c r="C23">
        <v>1.33393E-2</v>
      </c>
      <c r="D23">
        <v>1.31428E-2</v>
      </c>
      <c r="E23">
        <v>1.43722E-2</v>
      </c>
      <c r="F23">
        <v>1.4214299999999999E-2</v>
      </c>
      <c r="G23">
        <v>1.3354100000000001E-2</v>
      </c>
      <c r="H23">
        <v>1.45553E-2</v>
      </c>
      <c r="I23">
        <v>1.5767900000000001E-2</v>
      </c>
      <c r="J23">
        <v>1.9641700000000002E-2</v>
      </c>
      <c r="K23">
        <v>2.9323599999999998E-2</v>
      </c>
      <c r="L23">
        <v>4.6922100000000001E-2</v>
      </c>
      <c r="M23">
        <v>8.3638799999999999E-2</v>
      </c>
      <c r="N23">
        <v>0.15693299999999999</v>
      </c>
      <c r="O23">
        <v>0.30301899999999998</v>
      </c>
      <c r="P23">
        <v>0.59953900000000004</v>
      </c>
      <c r="Q23">
        <v>9.9859000000000007E-3</v>
      </c>
      <c r="R23">
        <v>9.0089000000000002E-3</v>
      </c>
      <c r="S23">
        <v>8.8553999999999994E-3</v>
      </c>
      <c r="T23">
        <v>9.1690000000000001E-3</v>
      </c>
      <c r="U23">
        <v>9.1868999999999996E-3</v>
      </c>
      <c r="V23">
        <v>9.0632000000000004E-3</v>
      </c>
      <c r="W23">
        <v>9.4856999999999997E-3</v>
      </c>
      <c r="X23">
        <v>1.02398E-2</v>
      </c>
      <c r="Y23">
        <v>1.25098E-2</v>
      </c>
      <c r="Z23">
        <v>1.8344800000000001E-2</v>
      </c>
      <c r="AA23">
        <v>2.8961500000000001E-2</v>
      </c>
      <c r="AB23">
        <v>5.2079199999999999E-2</v>
      </c>
      <c r="AC23">
        <v>9.6545500000000006E-2</v>
      </c>
      <c r="AD23">
        <v>0.187335</v>
      </c>
      <c r="AE23">
        <v>0.37050499999999997</v>
      </c>
      <c r="AF23">
        <v>0.73324599999999995</v>
      </c>
    </row>
    <row r="24" spans="1:32" x14ac:dyDescent="0.25">
      <c r="A24">
        <v>1.3226E-2</v>
      </c>
      <c r="B24">
        <v>1.32929E-2</v>
      </c>
      <c r="C24">
        <v>1.35706E-2</v>
      </c>
      <c r="D24">
        <v>1.3502800000000001E-2</v>
      </c>
      <c r="E24">
        <v>1.32382E-2</v>
      </c>
      <c r="F24">
        <v>1.41958E-2</v>
      </c>
      <c r="G24">
        <v>1.33416E-2</v>
      </c>
      <c r="H24">
        <v>1.46984E-2</v>
      </c>
      <c r="I24">
        <v>1.6363200000000001E-2</v>
      </c>
      <c r="J24">
        <v>1.9350200000000001E-2</v>
      </c>
      <c r="K24">
        <v>2.8621600000000001E-2</v>
      </c>
      <c r="L24">
        <v>4.7863099999999999E-2</v>
      </c>
      <c r="M24">
        <v>8.3577100000000001E-2</v>
      </c>
      <c r="N24">
        <v>0.15725900000000001</v>
      </c>
      <c r="O24">
        <v>0.302759</v>
      </c>
      <c r="P24">
        <v>0.59889300000000001</v>
      </c>
      <c r="Q24">
        <v>9.9083000000000001E-3</v>
      </c>
      <c r="R24">
        <v>8.9969000000000004E-3</v>
      </c>
      <c r="S24">
        <v>9.2177000000000005E-3</v>
      </c>
      <c r="T24">
        <v>9.1505000000000006E-3</v>
      </c>
      <c r="U24">
        <v>8.8754999999999997E-3</v>
      </c>
      <c r="V24">
        <v>9.2808999999999999E-3</v>
      </c>
      <c r="W24">
        <v>9.3939000000000002E-3</v>
      </c>
      <c r="X24">
        <v>1.0111500000000001E-2</v>
      </c>
      <c r="Y24">
        <v>1.3088799999999999E-2</v>
      </c>
      <c r="Z24">
        <v>1.8651500000000001E-2</v>
      </c>
      <c r="AA24">
        <v>2.8927100000000001E-2</v>
      </c>
      <c r="AB24">
        <v>5.18652E-2</v>
      </c>
      <c r="AC24">
        <v>9.7052799999999995E-2</v>
      </c>
      <c r="AD24">
        <v>0.18685499999999999</v>
      </c>
      <c r="AE24">
        <v>0.37043500000000001</v>
      </c>
      <c r="AF24">
        <v>0.73245000000000005</v>
      </c>
    </row>
    <row r="25" spans="1:32" x14ac:dyDescent="0.25">
      <c r="A25">
        <v>1.3233E-2</v>
      </c>
      <c r="B25">
        <v>1.3377699999999999E-2</v>
      </c>
      <c r="C25">
        <v>1.3253600000000001E-2</v>
      </c>
      <c r="D25">
        <v>1.3828099999999999E-2</v>
      </c>
      <c r="E25">
        <v>1.32284E-2</v>
      </c>
      <c r="F25">
        <v>1.33031E-2</v>
      </c>
      <c r="G25">
        <v>1.3513600000000001E-2</v>
      </c>
      <c r="H25">
        <v>1.41406E-2</v>
      </c>
      <c r="I25">
        <v>1.59989E-2</v>
      </c>
      <c r="J25">
        <v>1.9500699999999999E-2</v>
      </c>
      <c r="K25">
        <v>2.8495300000000001E-2</v>
      </c>
      <c r="L25">
        <v>4.6416800000000001E-2</v>
      </c>
      <c r="M25">
        <v>8.3375199999999997E-2</v>
      </c>
      <c r="N25">
        <v>0.15675600000000001</v>
      </c>
      <c r="O25">
        <v>0.30335899999999999</v>
      </c>
      <c r="P25">
        <v>0.598889</v>
      </c>
      <c r="Q25">
        <v>9.3884999999999993E-3</v>
      </c>
      <c r="R25">
        <v>8.9222999999999993E-3</v>
      </c>
      <c r="S25">
        <v>8.9247000000000007E-3</v>
      </c>
      <c r="T25">
        <v>9.0801000000000007E-3</v>
      </c>
      <c r="U25">
        <v>9.1129000000000002E-3</v>
      </c>
      <c r="V25">
        <v>9.3436000000000005E-3</v>
      </c>
      <c r="W25">
        <v>9.5025000000000005E-3</v>
      </c>
      <c r="X25">
        <v>1.0833600000000001E-2</v>
      </c>
      <c r="Y25">
        <v>1.30314E-2</v>
      </c>
      <c r="Z25">
        <v>1.8017200000000001E-2</v>
      </c>
      <c r="AA25">
        <v>2.8838699999999998E-2</v>
      </c>
      <c r="AB25">
        <v>5.1407000000000001E-2</v>
      </c>
      <c r="AC25">
        <v>9.6603700000000001E-2</v>
      </c>
      <c r="AD25">
        <v>0.18712699999999999</v>
      </c>
      <c r="AE25">
        <v>0.37033199999999999</v>
      </c>
      <c r="AF25">
        <v>0.73290999999999995</v>
      </c>
    </row>
    <row r="26" spans="1:32" x14ac:dyDescent="0.25">
      <c r="A26">
        <v>1.29409E-2</v>
      </c>
      <c r="B26">
        <v>1.32902E-2</v>
      </c>
      <c r="C26">
        <v>1.3501300000000001E-2</v>
      </c>
      <c r="D26">
        <v>1.3180799999999999E-2</v>
      </c>
      <c r="E26">
        <v>1.34384E-2</v>
      </c>
      <c r="F26">
        <v>1.45237E-2</v>
      </c>
      <c r="G26">
        <v>1.3432599999999999E-2</v>
      </c>
      <c r="H26">
        <v>1.46421E-2</v>
      </c>
      <c r="I26">
        <v>1.5774900000000001E-2</v>
      </c>
      <c r="J26">
        <v>1.93977E-2</v>
      </c>
      <c r="K26">
        <v>2.8437299999999999E-2</v>
      </c>
      <c r="L26">
        <v>4.5957699999999997E-2</v>
      </c>
      <c r="M26">
        <v>8.3269399999999993E-2</v>
      </c>
      <c r="N26">
        <v>0.15698500000000001</v>
      </c>
      <c r="O26">
        <v>0.303205</v>
      </c>
      <c r="P26">
        <v>0.59909000000000001</v>
      </c>
      <c r="Q26">
        <v>9.1807E-3</v>
      </c>
      <c r="R26">
        <v>8.9525999999999998E-3</v>
      </c>
      <c r="S26">
        <v>9.0585000000000006E-3</v>
      </c>
      <c r="T26">
        <v>9.1169000000000007E-3</v>
      </c>
      <c r="U26">
        <v>9.1100999999999994E-3</v>
      </c>
      <c r="V26">
        <v>9.9807000000000003E-3</v>
      </c>
      <c r="W26">
        <v>9.3921999999999999E-3</v>
      </c>
      <c r="X26">
        <v>1.03771E-2</v>
      </c>
      <c r="Y26">
        <v>1.30267E-2</v>
      </c>
      <c r="Z26">
        <v>1.84134E-2</v>
      </c>
      <c r="AA26">
        <v>2.89441E-2</v>
      </c>
      <c r="AB26">
        <v>5.0923299999999998E-2</v>
      </c>
      <c r="AC26">
        <v>9.6801200000000004E-2</v>
      </c>
      <c r="AD26">
        <v>0.187415</v>
      </c>
      <c r="AE26">
        <v>0.37030800000000003</v>
      </c>
      <c r="AF26">
        <v>0.73258199999999996</v>
      </c>
    </row>
    <row r="27" spans="1:32" x14ac:dyDescent="0.25">
      <c r="A27">
        <v>1.34372E-2</v>
      </c>
      <c r="B27">
        <v>1.36688E-2</v>
      </c>
      <c r="C27">
        <v>1.29257E-2</v>
      </c>
      <c r="D27">
        <v>1.3065200000000001E-2</v>
      </c>
      <c r="E27">
        <v>1.3346800000000001E-2</v>
      </c>
      <c r="F27">
        <v>1.41079E-2</v>
      </c>
      <c r="G27">
        <v>1.33981E-2</v>
      </c>
      <c r="H27">
        <v>1.4532E-2</v>
      </c>
      <c r="I27">
        <v>1.5876100000000001E-2</v>
      </c>
      <c r="J27">
        <v>2.0027099999999999E-2</v>
      </c>
      <c r="K27">
        <v>2.9190600000000001E-2</v>
      </c>
      <c r="L27">
        <v>4.7373100000000001E-2</v>
      </c>
      <c r="M27">
        <v>8.3122299999999996E-2</v>
      </c>
      <c r="N27">
        <v>0.15717400000000001</v>
      </c>
      <c r="O27">
        <v>0.302819</v>
      </c>
      <c r="P27">
        <v>0.59891300000000003</v>
      </c>
      <c r="Q27">
        <v>9.3606999999999996E-3</v>
      </c>
      <c r="R27">
        <v>9.4456999999999996E-3</v>
      </c>
      <c r="S27">
        <v>8.9025000000000007E-3</v>
      </c>
      <c r="T27">
        <v>8.8702E-3</v>
      </c>
      <c r="U27">
        <v>9.0515000000000005E-3</v>
      </c>
      <c r="V27">
        <v>9.2183000000000005E-3</v>
      </c>
      <c r="W27">
        <v>9.6322000000000005E-3</v>
      </c>
      <c r="X27">
        <v>1.0359800000000001E-2</v>
      </c>
      <c r="Y27">
        <v>1.3090600000000001E-2</v>
      </c>
      <c r="Z27">
        <v>1.8366500000000001E-2</v>
      </c>
      <c r="AA27">
        <v>2.94624E-2</v>
      </c>
      <c r="AB27">
        <v>5.1792499999999998E-2</v>
      </c>
      <c r="AC27">
        <v>9.6636200000000005E-2</v>
      </c>
      <c r="AD27">
        <v>0.187192</v>
      </c>
      <c r="AE27">
        <v>0.37048900000000001</v>
      </c>
      <c r="AF27">
        <v>0.73171299999999995</v>
      </c>
    </row>
    <row r="28" spans="1:32" x14ac:dyDescent="0.25">
      <c r="A28">
        <v>1.3617300000000001E-2</v>
      </c>
      <c r="B28">
        <v>1.36662E-2</v>
      </c>
      <c r="C28">
        <v>1.3240200000000001E-2</v>
      </c>
      <c r="D28">
        <v>1.36918E-2</v>
      </c>
      <c r="E28">
        <v>1.4963000000000001E-2</v>
      </c>
      <c r="F28">
        <v>1.3376600000000001E-2</v>
      </c>
      <c r="G28">
        <v>1.3480600000000001E-2</v>
      </c>
      <c r="H28">
        <v>1.41481E-2</v>
      </c>
      <c r="I28">
        <v>1.53315E-2</v>
      </c>
      <c r="J28">
        <v>2.0114799999999999E-2</v>
      </c>
      <c r="K28">
        <v>2.8821599999999999E-2</v>
      </c>
      <c r="L28">
        <v>4.7297800000000001E-2</v>
      </c>
      <c r="M28">
        <v>8.3239900000000006E-2</v>
      </c>
      <c r="N28">
        <v>0.15721599999999999</v>
      </c>
      <c r="O28">
        <v>0.30303099999999999</v>
      </c>
      <c r="P28">
        <v>0.59853199999999995</v>
      </c>
      <c r="Q28">
        <v>9.2338000000000003E-3</v>
      </c>
      <c r="R28">
        <v>9.0323999999999995E-3</v>
      </c>
      <c r="S28">
        <v>1.0689499999999999E-2</v>
      </c>
      <c r="T28">
        <v>8.9651999999999996E-3</v>
      </c>
      <c r="U28">
        <v>9.1637999999999997E-3</v>
      </c>
      <c r="V28">
        <v>9.2046999999999997E-3</v>
      </c>
      <c r="W28">
        <v>9.3980000000000001E-3</v>
      </c>
      <c r="X28">
        <v>1.04116E-2</v>
      </c>
      <c r="Y28">
        <v>1.26996E-2</v>
      </c>
      <c r="Z28">
        <v>1.84093E-2</v>
      </c>
      <c r="AA28">
        <v>2.91551E-2</v>
      </c>
      <c r="AB28">
        <v>5.2123700000000002E-2</v>
      </c>
      <c r="AC28">
        <v>9.6306900000000001E-2</v>
      </c>
      <c r="AD28">
        <v>0.18673200000000001</v>
      </c>
      <c r="AE28">
        <v>0.37050699999999998</v>
      </c>
      <c r="AF28">
        <v>0.73330799999999996</v>
      </c>
    </row>
    <row r="29" spans="1:32" x14ac:dyDescent="0.25">
      <c r="A29">
        <v>1.38339E-2</v>
      </c>
      <c r="B29">
        <v>1.36694E-2</v>
      </c>
      <c r="C29">
        <v>1.3383300000000001E-2</v>
      </c>
      <c r="D29">
        <v>1.3002100000000001E-2</v>
      </c>
      <c r="E29">
        <v>1.31875E-2</v>
      </c>
      <c r="F29">
        <v>1.3335700000000001E-2</v>
      </c>
      <c r="G29">
        <v>1.37828E-2</v>
      </c>
      <c r="H29">
        <v>1.3883599999999999E-2</v>
      </c>
      <c r="I29">
        <v>1.6065400000000001E-2</v>
      </c>
      <c r="J29">
        <v>2.10803E-2</v>
      </c>
      <c r="K29">
        <v>2.8467900000000001E-2</v>
      </c>
      <c r="L29">
        <v>4.7403099999999997E-2</v>
      </c>
      <c r="M29">
        <v>8.3241099999999998E-2</v>
      </c>
      <c r="N29">
        <v>0.15693099999999999</v>
      </c>
      <c r="O29">
        <v>0.30265199999999998</v>
      </c>
      <c r="P29">
        <v>0.599047</v>
      </c>
      <c r="Q29">
        <v>9.5627999999999998E-3</v>
      </c>
      <c r="R29">
        <v>8.9908000000000002E-3</v>
      </c>
      <c r="S29">
        <v>8.8374999999999999E-3</v>
      </c>
      <c r="T29">
        <v>9.0886999999999999E-3</v>
      </c>
      <c r="U29">
        <v>9.0331999999999999E-3</v>
      </c>
      <c r="V29">
        <v>9.2595000000000004E-3</v>
      </c>
      <c r="W29">
        <v>9.3168999999999995E-3</v>
      </c>
      <c r="X29">
        <v>1.03369E-2</v>
      </c>
      <c r="Y29">
        <v>1.2887900000000001E-2</v>
      </c>
      <c r="Z29">
        <v>1.8628499999999999E-2</v>
      </c>
      <c r="AA29">
        <v>2.9278999999999999E-2</v>
      </c>
      <c r="AB29">
        <v>5.1737100000000001E-2</v>
      </c>
      <c r="AC29">
        <v>9.6531099999999995E-2</v>
      </c>
      <c r="AD29">
        <v>0.187358</v>
      </c>
      <c r="AE29">
        <v>0.37033899999999997</v>
      </c>
      <c r="AF29">
        <v>0.73312699999999997</v>
      </c>
    </row>
    <row r="30" spans="1:32" x14ac:dyDescent="0.25">
      <c r="A30">
        <v>1.30174E-2</v>
      </c>
      <c r="B30">
        <v>1.30752E-2</v>
      </c>
      <c r="C30">
        <v>1.3137899999999999E-2</v>
      </c>
      <c r="D30">
        <v>1.3801900000000001E-2</v>
      </c>
      <c r="E30">
        <v>1.3581899999999999E-2</v>
      </c>
      <c r="F30">
        <v>1.34404E-2</v>
      </c>
      <c r="G30">
        <v>1.34786E-2</v>
      </c>
      <c r="H30">
        <v>1.4128099999999999E-2</v>
      </c>
      <c r="I30">
        <v>1.6159900000000001E-2</v>
      </c>
      <c r="J30">
        <v>1.9833699999999999E-2</v>
      </c>
      <c r="K30">
        <v>2.77904E-2</v>
      </c>
      <c r="L30">
        <v>4.7575800000000001E-2</v>
      </c>
      <c r="M30">
        <v>8.3070500000000005E-2</v>
      </c>
      <c r="N30">
        <v>0.15709600000000001</v>
      </c>
      <c r="O30">
        <v>0.30349999999999999</v>
      </c>
      <c r="P30">
        <v>0.59895699999999996</v>
      </c>
      <c r="Q30">
        <v>9.2753000000000002E-3</v>
      </c>
      <c r="R30">
        <v>9.0831999999999996E-3</v>
      </c>
      <c r="S30">
        <v>8.8988000000000001E-3</v>
      </c>
      <c r="T30">
        <v>9.2286999999999994E-3</v>
      </c>
      <c r="U30">
        <v>9.0833000000000007E-3</v>
      </c>
      <c r="V30">
        <v>9.0013000000000003E-3</v>
      </c>
      <c r="W30">
        <v>9.3570000000000007E-3</v>
      </c>
      <c r="X30">
        <v>1.03052E-2</v>
      </c>
      <c r="Y30">
        <v>1.28784E-2</v>
      </c>
      <c r="Z30">
        <v>1.8786000000000001E-2</v>
      </c>
      <c r="AA30">
        <v>2.83599E-2</v>
      </c>
      <c r="AB30">
        <v>5.1476000000000001E-2</v>
      </c>
      <c r="AC30">
        <v>9.7037799999999994E-2</v>
      </c>
      <c r="AD30">
        <v>0.18737899999999999</v>
      </c>
      <c r="AE30">
        <v>0.37041099999999999</v>
      </c>
      <c r="AF30">
        <v>0.73302</v>
      </c>
    </row>
    <row r="31" spans="1:32" x14ac:dyDescent="0.25">
      <c r="A31">
        <v>1.3174E-2</v>
      </c>
      <c r="B31">
        <v>1.3275E-2</v>
      </c>
      <c r="C31">
        <v>1.3199900000000001E-2</v>
      </c>
      <c r="D31">
        <v>1.36451E-2</v>
      </c>
      <c r="E31">
        <v>1.43943E-2</v>
      </c>
      <c r="F31">
        <v>1.36352E-2</v>
      </c>
      <c r="G31">
        <v>1.34579E-2</v>
      </c>
      <c r="H31">
        <v>1.41878E-2</v>
      </c>
      <c r="I31">
        <v>1.5606999999999999E-2</v>
      </c>
      <c r="J31">
        <v>2.0626200000000001E-2</v>
      </c>
      <c r="K31">
        <v>2.86772E-2</v>
      </c>
      <c r="L31">
        <v>4.7045799999999999E-2</v>
      </c>
      <c r="M31">
        <v>8.3453899999999998E-2</v>
      </c>
      <c r="N31">
        <v>0.15703</v>
      </c>
      <c r="O31">
        <v>0.30317499999999997</v>
      </c>
      <c r="P31">
        <v>0.59751299999999996</v>
      </c>
      <c r="Q31">
        <v>9.4125000000000007E-3</v>
      </c>
      <c r="R31">
        <v>9.0150999999999998E-3</v>
      </c>
      <c r="S31">
        <v>8.8555999999999999E-3</v>
      </c>
      <c r="T31">
        <v>9.0749000000000003E-3</v>
      </c>
      <c r="U31">
        <v>9.1242000000000007E-3</v>
      </c>
      <c r="V31">
        <v>9.1611000000000001E-3</v>
      </c>
      <c r="W31">
        <v>9.8314000000000006E-3</v>
      </c>
      <c r="X31">
        <v>1.02326E-2</v>
      </c>
      <c r="Y31">
        <v>1.30908E-2</v>
      </c>
      <c r="Z31">
        <v>1.86033E-2</v>
      </c>
      <c r="AA31">
        <v>2.8422599999999999E-2</v>
      </c>
      <c r="AB31">
        <v>5.1752800000000002E-2</v>
      </c>
      <c r="AC31">
        <v>9.6558699999999997E-2</v>
      </c>
      <c r="AD31">
        <v>0.18757199999999999</v>
      </c>
      <c r="AE31">
        <v>0.37039800000000001</v>
      </c>
      <c r="AF31">
        <v>0.73310200000000003</v>
      </c>
    </row>
    <row r="32" spans="1:32" x14ac:dyDescent="0.25">
      <c r="A32">
        <v>1.2993899999999999E-2</v>
      </c>
      <c r="B32">
        <v>1.3335700000000001E-2</v>
      </c>
      <c r="C32">
        <v>1.33148E-2</v>
      </c>
      <c r="D32">
        <v>1.32085E-2</v>
      </c>
      <c r="E32">
        <v>1.3322199999999999E-2</v>
      </c>
      <c r="F32">
        <v>1.32958E-2</v>
      </c>
      <c r="G32">
        <v>1.3477299999999999E-2</v>
      </c>
      <c r="H32">
        <v>1.4397399999999999E-2</v>
      </c>
      <c r="I32">
        <v>1.5542500000000001E-2</v>
      </c>
      <c r="J32">
        <v>2.00147E-2</v>
      </c>
      <c r="K32">
        <v>2.8135799999999999E-2</v>
      </c>
      <c r="L32">
        <v>4.7371999999999997E-2</v>
      </c>
      <c r="M32">
        <v>8.3392900000000006E-2</v>
      </c>
      <c r="N32">
        <v>0.15596499999999999</v>
      </c>
      <c r="O32">
        <v>0.30352099999999999</v>
      </c>
      <c r="P32">
        <v>0.598468</v>
      </c>
      <c r="Q32">
        <v>9.1947000000000001E-3</v>
      </c>
      <c r="R32">
        <v>8.7492999999999998E-3</v>
      </c>
      <c r="S32">
        <v>9.1450000000000004E-3</v>
      </c>
      <c r="T32">
        <v>9.1809000000000005E-3</v>
      </c>
      <c r="U32">
        <v>9.0726999999999995E-3</v>
      </c>
      <c r="V32">
        <v>9.5802000000000005E-3</v>
      </c>
      <c r="W32">
        <v>9.2552999999999993E-3</v>
      </c>
      <c r="X32">
        <v>1.0383399999999999E-2</v>
      </c>
      <c r="Y32">
        <v>1.28197E-2</v>
      </c>
      <c r="Z32">
        <v>1.8642700000000002E-2</v>
      </c>
      <c r="AA32">
        <v>2.8452100000000001E-2</v>
      </c>
      <c r="AB32">
        <v>5.1894999999999997E-2</v>
      </c>
      <c r="AC32">
        <v>9.6462900000000004E-2</v>
      </c>
      <c r="AD32">
        <v>0.18732599999999999</v>
      </c>
      <c r="AE32">
        <v>0.37043599999999999</v>
      </c>
      <c r="AF32">
        <v>0.73306099999999996</v>
      </c>
    </row>
    <row r="33" spans="1:32" x14ac:dyDescent="0.25">
      <c r="A33">
        <v>1.3107300000000001E-2</v>
      </c>
      <c r="B33">
        <v>1.30528E-2</v>
      </c>
      <c r="C33">
        <v>1.3107499999999999E-2</v>
      </c>
      <c r="D33">
        <v>1.37082E-2</v>
      </c>
      <c r="E33">
        <v>1.34503E-2</v>
      </c>
      <c r="F33">
        <v>1.3721799999999999E-2</v>
      </c>
      <c r="G33">
        <v>1.3425599999999999E-2</v>
      </c>
      <c r="H33">
        <v>1.3958399999999999E-2</v>
      </c>
      <c r="I33">
        <v>1.6044900000000001E-2</v>
      </c>
      <c r="J33">
        <v>2.0348000000000002E-2</v>
      </c>
      <c r="K33">
        <v>2.88466E-2</v>
      </c>
      <c r="L33">
        <v>4.7739799999999999E-2</v>
      </c>
      <c r="M33">
        <v>8.3821300000000001E-2</v>
      </c>
      <c r="N33">
        <v>0.15681800000000001</v>
      </c>
      <c r="O33">
        <v>0.30331399999999997</v>
      </c>
      <c r="P33">
        <v>0.59843599999999997</v>
      </c>
      <c r="Q33">
        <v>9.2514999999999993E-3</v>
      </c>
      <c r="R33">
        <v>9.1632999999999992E-3</v>
      </c>
      <c r="S33">
        <v>8.8534000000000009E-3</v>
      </c>
      <c r="T33">
        <v>8.9998000000000005E-3</v>
      </c>
      <c r="U33">
        <v>9.0320000000000001E-3</v>
      </c>
      <c r="V33">
        <v>9.2495000000000008E-3</v>
      </c>
      <c r="W33">
        <v>9.3646000000000007E-3</v>
      </c>
      <c r="X33">
        <v>1.02069E-2</v>
      </c>
      <c r="Y33">
        <v>1.29417E-2</v>
      </c>
      <c r="Z33">
        <v>1.8513000000000002E-2</v>
      </c>
      <c r="AA33">
        <v>2.9021100000000001E-2</v>
      </c>
      <c r="AB33">
        <v>5.1388299999999998E-2</v>
      </c>
      <c r="AC33">
        <v>9.6418199999999996E-2</v>
      </c>
      <c r="AD33">
        <v>0.18718299999999999</v>
      </c>
      <c r="AE33">
        <v>0.37033899999999997</v>
      </c>
      <c r="AF33">
        <v>0.73293299999999995</v>
      </c>
    </row>
    <row r="34" spans="1:32" x14ac:dyDescent="0.25">
      <c r="A34">
        <v>1.3214699999999999E-2</v>
      </c>
      <c r="B34">
        <v>1.47954E-2</v>
      </c>
      <c r="C34">
        <v>1.3221699999999999E-2</v>
      </c>
      <c r="D34">
        <v>1.3109300000000001E-2</v>
      </c>
      <c r="E34">
        <v>1.3227300000000001E-2</v>
      </c>
      <c r="F34">
        <v>1.37695E-2</v>
      </c>
      <c r="G34">
        <v>1.35829E-2</v>
      </c>
      <c r="H34">
        <v>1.41479E-2</v>
      </c>
      <c r="I34">
        <v>1.5648800000000001E-2</v>
      </c>
      <c r="J34">
        <v>2.00381E-2</v>
      </c>
      <c r="K34">
        <v>2.8198399999999998E-2</v>
      </c>
      <c r="L34">
        <v>4.6995299999999997E-2</v>
      </c>
      <c r="M34">
        <v>8.3545300000000003E-2</v>
      </c>
      <c r="N34">
        <v>0.15695600000000001</v>
      </c>
      <c r="O34">
        <v>0.30376599999999998</v>
      </c>
      <c r="P34">
        <v>0.599275</v>
      </c>
      <c r="Q34">
        <v>9.4671000000000009E-3</v>
      </c>
      <c r="R34">
        <v>9.2686000000000001E-3</v>
      </c>
      <c r="S34">
        <v>9.1861000000000009E-3</v>
      </c>
      <c r="T34">
        <v>9.0670999999999998E-3</v>
      </c>
      <c r="U34">
        <v>9.2729000000000006E-3</v>
      </c>
      <c r="V34">
        <v>9.2391999999999995E-3</v>
      </c>
      <c r="W34">
        <v>9.5282000000000006E-3</v>
      </c>
      <c r="X34">
        <v>1.0175E-2</v>
      </c>
      <c r="Y34">
        <v>1.30016E-2</v>
      </c>
      <c r="Z34">
        <v>1.8563900000000001E-2</v>
      </c>
      <c r="AA34">
        <v>2.8594700000000001E-2</v>
      </c>
      <c r="AB34">
        <v>5.19038E-2</v>
      </c>
      <c r="AC34">
        <v>9.6931199999999995E-2</v>
      </c>
      <c r="AD34">
        <v>0.18765000000000001</v>
      </c>
      <c r="AE34">
        <v>0.37049300000000002</v>
      </c>
      <c r="AF34">
        <v>0.73287800000000003</v>
      </c>
    </row>
    <row r="35" spans="1:32" x14ac:dyDescent="0.25">
      <c r="A35">
        <v>1.3048199999999999E-2</v>
      </c>
      <c r="B35">
        <v>1.30145E-2</v>
      </c>
      <c r="C35">
        <v>1.34451E-2</v>
      </c>
      <c r="D35">
        <v>1.34231E-2</v>
      </c>
      <c r="E35">
        <v>1.3491100000000001E-2</v>
      </c>
      <c r="F35">
        <v>1.32879E-2</v>
      </c>
      <c r="G35">
        <v>1.35931E-2</v>
      </c>
      <c r="H35">
        <v>1.47718E-2</v>
      </c>
      <c r="I35">
        <v>1.5736300000000002E-2</v>
      </c>
      <c r="J35">
        <v>1.94661E-2</v>
      </c>
      <c r="K35">
        <v>2.9287400000000002E-2</v>
      </c>
      <c r="L35">
        <v>4.6701300000000001E-2</v>
      </c>
      <c r="M35">
        <v>8.3260399999999998E-2</v>
      </c>
      <c r="N35">
        <v>0.15651499999999999</v>
      </c>
      <c r="O35">
        <v>0.30362600000000001</v>
      </c>
      <c r="P35">
        <v>0.59923599999999999</v>
      </c>
      <c r="Q35">
        <v>9.3796999999999995E-3</v>
      </c>
      <c r="R35">
        <v>9.1803000000000006E-3</v>
      </c>
      <c r="S35">
        <v>9.3732999999999993E-3</v>
      </c>
      <c r="T35">
        <v>8.9897999999999992E-3</v>
      </c>
      <c r="U35">
        <v>9.0063000000000001E-3</v>
      </c>
      <c r="V35">
        <v>9.1746999999999992E-3</v>
      </c>
      <c r="W35">
        <v>9.2756000000000002E-3</v>
      </c>
      <c r="X35">
        <v>1.0344300000000001E-2</v>
      </c>
      <c r="Y35">
        <v>1.23865E-2</v>
      </c>
      <c r="Z35">
        <v>1.8722699999999998E-2</v>
      </c>
      <c r="AA35">
        <v>2.8938700000000001E-2</v>
      </c>
      <c r="AB35">
        <v>5.1815100000000003E-2</v>
      </c>
      <c r="AC35">
        <v>9.6447500000000005E-2</v>
      </c>
      <c r="AD35">
        <v>0.18732599999999999</v>
      </c>
      <c r="AE35">
        <v>0.37035400000000002</v>
      </c>
      <c r="AF35">
        <v>0.73292900000000005</v>
      </c>
    </row>
    <row r="36" spans="1:32" x14ac:dyDescent="0.25">
      <c r="A36">
        <v>1.3641E-2</v>
      </c>
      <c r="B36">
        <v>1.3252999999999999E-2</v>
      </c>
      <c r="C36">
        <v>1.31065E-2</v>
      </c>
      <c r="D36">
        <v>1.3682E-2</v>
      </c>
      <c r="E36">
        <v>1.3431800000000001E-2</v>
      </c>
      <c r="F36">
        <v>1.34237E-2</v>
      </c>
      <c r="G36">
        <v>1.36743E-2</v>
      </c>
      <c r="H36">
        <v>1.3783200000000001E-2</v>
      </c>
      <c r="I36">
        <v>1.5782999999999998E-2</v>
      </c>
      <c r="J36">
        <v>2.01414E-2</v>
      </c>
      <c r="K36">
        <v>2.8100799999999999E-2</v>
      </c>
      <c r="L36">
        <v>4.7213600000000001E-2</v>
      </c>
      <c r="M36">
        <v>8.3452499999999999E-2</v>
      </c>
      <c r="N36">
        <v>0.15706899999999999</v>
      </c>
      <c r="O36">
        <v>0.30381599999999997</v>
      </c>
      <c r="P36">
        <v>0.59904500000000005</v>
      </c>
      <c r="Q36">
        <v>9.4646000000000001E-3</v>
      </c>
      <c r="R36">
        <v>9.1365000000000005E-3</v>
      </c>
      <c r="S36">
        <v>8.8042999999999993E-3</v>
      </c>
      <c r="T36">
        <v>9.0764000000000001E-3</v>
      </c>
      <c r="U36">
        <v>8.9677000000000003E-3</v>
      </c>
      <c r="V36">
        <v>9.1582999999999994E-3</v>
      </c>
      <c r="W36">
        <v>9.5247999999999999E-3</v>
      </c>
      <c r="X36">
        <v>1.04756E-2</v>
      </c>
      <c r="Y36">
        <v>1.29192E-2</v>
      </c>
      <c r="Z36">
        <v>1.84701E-2</v>
      </c>
      <c r="AA36">
        <v>2.9102800000000002E-2</v>
      </c>
      <c r="AB36">
        <v>5.1776799999999998E-2</v>
      </c>
      <c r="AC36">
        <v>9.6778799999999998E-2</v>
      </c>
      <c r="AD36">
        <v>0.187419</v>
      </c>
      <c r="AE36">
        <v>0.37042399999999998</v>
      </c>
      <c r="AF36">
        <v>0.733294</v>
      </c>
    </row>
    <row r="37" spans="1:32" x14ac:dyDescent="0.25">
      <c r="A37">
        <v>1.3219E-2</v>
      </c>
      <c r="B37">
        <v>1.3894E-2</v>
      </c>
      <c r="C37">
        <v>1.33712E-2</v>
      </c>
      <c r="D37">
        <v>1.3358E-2</v>
      </c>
      <c r="E37">
        <v>1.3274299999999999E-2</v>
      </c>
      <c r="F37">
        <v>1.3573E-2</v>
      </c>
      <c r="G37">
        <v>1.39209E-2</v>
      </c>
      <c r="H37">
        <v>1.42893E-2</v>
      </c>
      <c r="I37">
        <v>1.5121799999999999E-2</v>
      </c>
      <c r="J37">
        <v>2.06334E-2</v>
      </c>
      <c r="K37">
        <v>2.8965600000000001E-2</v>
      </c>
      <c r="L37">
        <v>4.69988E-2</v>
      </c>
      <c r="M37">
        <v>8.3387600000000006E-2</v>
      </c>
      <c r="N37">
        <v>0.156504</v>
      </c>
      <c r="O37">
        <v>0.303338</v>
      </c>
      <c r="P37">
        <v>0.59892500000000004</v>
      </c>
      <c r="Q37">
        <v>9.3404999999999998E-3</v>
      </c>
      <c r="R37">
        <v>8.9140999999999995E-3</v>
      </c>
      <c r="S37">
        <v>8.9923999999999994E-3</v>
      </c>
      <c r="T37">
        <v>9.1118999999999992E-3</v>
      </c>
      <c r="U37">
        <v>9.1959999999999993E-3</v>
      </c>
      <c r="V37">
        <v>9.2271000000000002E-3</v>
      </c>
      <c r="W37">
        <v>9.4552999999999998E-3</v>
      </c>
      <c r="X37">
        <v>1.01516E-2</v>
      </c>
      <c r="Y37">
        <v>1.2952399999999999E-2</v>
      </c>
      <c r="Z37">
        <v>1.85407E-2</v>
      </c>
      <c r="AA37">
        <v>2.8981699999999999E-2</v>
      </c>
      <c r="AB37">
        <v>5.1768599999999998E-2</v>
      </c>
      <c r="AC37">
        <v>9.6343399999999996E-2</v>
      </c>
      <c r="AD37">
        <v>0.187364</v>
      </c>
      <c r="AE37">
        <v>0.370365</v>
      </c>
      <c r="AF37">
        <v>0.73325600000000002</v>
      </c>
    </row>
    <row r="38" spans="1:32" x14ac:dyDescent="0.25">
      <c r="A38">
        <v>1.3261500000000001E-2</v>
      </c>
      <c r="B38">
        <v>1.37305E-2</v>
      </c>
      <c r="C38">
        <v>1.35709E-2</v>
      </c>
      <c r="D38">
        <v>1.29689E-2</v>
      </c>
      <c r="E38">
        <v>1.38777E-2</v>
      </c>
      <c r="F38">
        <v>1.3379500000000001E-2</v>
      </c>
      <c r="G38">
        <v>1.34497E-2</v>
      </c>
      <c r="H38">
        <v>1.40462E-2</v>
      </c>
      <c r="I38">
        <v>1.5028700000000001E-2</v>
      </c>
      <c r="J38">
        <v>2.0270199999999999E-2</v>
      </c>
      <c r="K38">
        <v>2.8185700000000001E-2</v>
      </c>
      <c r="L38">
        <v>4.6388899999999997E-2</v>
      </c>
      <c r="M38">
        <v>8.3652599999999994E-2</v>
      </c>
      <c r="N38">
        <v>0.156859</v>
      </c>
      <c r="O38">
        <v>0.30380299999999999</v>
      </c>
      <c r="P38">
        <v>0.59823800000000005</v>
      </c>
      <c r="Q38">
        <v>9.5086000000000007E-3</v>
      </c>
      <c r="R38">
        <v>8.9514999999999994E-3</v>
      </c>
      <c r="S38">
        <v>9.0504999999999995E-3</v>
      </c>
      <c r="T38">
        <v>9.1108000000000005E-3</v>
      </c>
      <c r="U38">
        <v>9.1251000000000006E-3</v>
      </c>
      <c r="V38">
        <v>9.4810999999999993E-3</v>
      </c>
      <c r="W38">
        <v>9.4362000000000005E-3</v>
      </c>
      <c r="X38">
        <v>1.01514E-2</v>
      </c>
      <c r="Y38">
        <v>1.28276E-2</v>
      </c>
      <c r="Z38">
        <v>1.8587599999999999E-2</v>
      </c>
      <c r="AA38">
        <v>2.9036599999999999E-2</v>
      </c>
      <c r="AB38">
        <v>5.1980499999999999E-2</v>
      </c>
      <c r="AC38">
        <v>9.6929199999999993E-2</v>
      </c>
      <c r="AD38">
        <v>0.187001</v>
      </c>
      <c r="AE38">
        <v>0.370251</v>
      </c>
      <c r="AF38">
        <v>0.73311999999999999</v>
      </c>
    </row>
    <row r="39" spans="1:32" x14ac:dyDescent="0.25">
      <c r="A39">
        <v>1.28495E-2</v>
      </c>
      <c r="B39">
        <v>1.30434E-2</v>
      </c>
      <c r="C39">
        <v>1.30428E-2</v>
      </c>
      <c r="D39">
        <v>1.31716E-2</v>
      </c>
      <c r="E39">
        <v>1.39106E-2</v>
      </c>
      <c r="F39">
        <v>1.3758599999999999E-2</v>
      </c>
      <c r="G39">
        <v>1.3717200000000001E-2</v>
      </c>
      <c r="H39">
        <v>1.39945E-2</v>
      </c>
      <c r="I39">
        <v>1.58592E-2</v>
      </c>
      <c r="J39">
        <v>2.0256099999999999E-2</v>
      </c>
      <c r="K39">
        <v>2.82939E-2</v>
      </c>
      <c r="L39">
        <v>4.7321200000000001E-2</v>
      </c>
      <c r="M39">
        <v>8.3759500000000001E-2</v>
      </c>
      <c r="N39">
        <v>0.15759899999999999</v>
      </c>
      <c r="O39">
        <v>0.30298700000000001</v>
      </c>
      <c r="P39">
        <v>0.59858999999999996</v>
      </c>
      <c r="Q39">
        <v>9.2305000000000009E-3</v>
      </c>
      <c r="R39">
        <v>8.9650000000000007E-3</v>
      </c>
      <c r="S39">
        <v>8.8020000000000008E-3</v>
      </c>
      <c r="T39">
        <v>8.9175000000000001E-3</v>
      </c>
      <c r="U39">
        <v>9.0994000000000005E-3</v>
      </c>
      <c r="V39">
        <v>8.9616999999999995E-3</v>
      </c>
      <c r="W39">
        <v>9.4903000000000001E-3</v>
      </c>
      <c r="X39">
        <v>1.0420199999999999E-2</v>
      </c>
      <c r="Y39">
        <v>1.28912E-2</v>
      </c>
      <c r="Z39">
        <v>1.8674E-2</v>
      </c>
      <c r="AA39">
        <v>2.84412E-2</v>
      </c>
      <c r="AB39">
        <v>5.1486999999999998E-2</v>
      </c>
      <c r="AC39">
        <v>9.6792699999999995E-2</v>
      </c>
      <c r="AD39">
        <v>0.18717800000000001</v>
      </c>
      <c r="AE39">
        <v>0.37044300000000002</v>
      </c>
      <c r="AF39">
        <v>0.73306099999999996</v>
      </c>
    </row>
    <row r="40" spans="1:32" x14ac:dyDescent="0.25">
      <c r="A40">
        <v>1.31805E-2</v>
      </c>
      <c r="B40">
        <v>1.30572E-2</v>
      </c>
      <c r="C40">
        <v>1.32751E-2</v>
      </c>
      <c r="D40">
        <v>1.3147600000000001E-2</v>
      </c>
      <c r="E40">
        <v>1.3349E-2</v>
      </c>
      <c r="F40">
        <v>1.3541600000000001E-2</v>
      </c>
      <c r="G40">
        <v>1.39609E-2</v>
      </c>
      <c r="H40">
        <v>1.41219E-2</v>
      </c>
      <c r="I40">
        <v>1.55166E-2</v>
      </c>
      <c r="J40">
        <v>2.0393600000000001E-2</v>
      </c>
      <c r="K40">
        <v>2.86766E-2</v>
      </c>
      <c r="L40">
        <v>4.7482400000000001E-2</v>
      </c>
      <c r="M40">
        <v>8.3178600000000005E-2</v>
      </c>
      <c r="N40">
        <v>0.156776</v>
      </c>
      <c r="O40">
        <v>0.303757</v>
      </c>
      <c r="P40">
        <v>0.59863599999999995</v>
      </c>
      <c r="Q40">
        <v>9.2365999999999993E-3</v>
      </c>
      <c r="R40">
        <v>8.8971999999999992E-3</v>
      </c>
      <c r="S40">
        <v>9.1298999999999998E-3</v>
      </c>
      <c r="T40">
        <v>9.0696000000000006E-3</v>
      </c>
      <c r="U40">
        <v>9.1141E-3</v>
      </c>
      <c r="V40">
        <v>9.0820999999999992E-3</v>
      </c>
      <c r="W40">
        <v>9.4365999999999998E-3</v>
      </c>
      <c r="X40">
        <v>1.0268899999999999E-2</v>
      </c>
      <c r="Y40">
        <v>1.3263499999999999E-2</v>
      </c>
      <c r="Z40">
        <v>1.8478999999999999E-2</v>
      </c>
      <c r="AA40">
        <v>2.8787699999999999E-2</v>
      </c>
      <c r="AB40">
        <v>5.1919699999999999E-2</v>
      </c>
      <c r="AC40">
        <v>9.7058800000000001E-2</v>
      </c>
      <c r="AD40">
        <v>0.18750900000000001</v>
      </c>
      <c r="AE40">
        <v>0.37041299999999999</v>
      </c>
      <c r="AF40">
        <v>0.73309500000000005</v>
      </c>
    </row>
    <row r="41" spans="1:32" x14ac:dyDescent="0.25">
      <c r="A41">
        <v>1.33455E-2</v>
      </c>
      <c r="B41">
        <v>1.32596E-2</v>
      </c>
      <c r="C41">
        <v>1.3506199999999999E-2</v>
      </c>
      <c r="D41">
        <v>1.3299800000000001E-2</v>
      </c>
      <c r="E41">
        <v>1.362E-2</v>
      </c>
      <c r="F41">
        <v>1.5988200000000001E-2</v>
      </c>
      <c r="G41">
        <v>1.5252699999999999E-2</v>
      </c>
      <c r="H41">
        <v>1.36522E-2</v>
      </c>
      <c r="I41">
        <v>1.56852E-2</v>
      </c>
      <c r="J41">
        <v>2.06941E-2</v>
      </c>
      <c r="K41">
        <v>2.7982300000000002E-2</v>
      </c>
      <c r="L41">
        <v>4.77326E-2</v>
      </c>
      <c r="M41">
        <v>8.3448999999999995E-2</v>
      </c>
      <c r="N41">
        <v>0.15648300000000001</v>
      </c>
      <c r="O41">
        <v>0.302898</v>
      </c>
      <c r="P41">
        <v>0.59821599999999997</v>
      </c>
      <c r="Q41">
        <v>9.2391000000000001E-3</v>
      </c>
      <c r="R41">
        <v>8.9636000000000004E-3</v>
      </c>
      <c r="S41">
        <v>8.9171000000000007E-3</v>
      </c>
      <c r="T41">
        <v>9.1077999999999992E-3</v>
      </c>
      <c r="U41">
        <v>9.2799000000000006E-3</v>
      </c>
      <c r="V41">
        <v>9.1909999999999995E-3</v>
      </c>
      <c r="W41">
        <v>9.4126999999999995E-3</v>
      </c>
      <c r="X41">
        <v>1.03316E-2</v>
      </c>
      <c r="Y41">
        <v>1.3202E-2</v>
      </c>
      <c r="Z41">
        <v>1.8470799999999999E-2</v>
      </c>
      <c r="AA41">
        <v>2.9189199999999998E-2</v>
      </c>
      <c r="AB41">
        <v>5.1365000000000001E-2</v>
      </c>
      <c r="AC41">
        <v>9.6973299999999998E-2</v>
      </c>
      <c r="AD41">
        <v>0.187166</v>
      </c>
      <c r="AE41">
        <v>0.37038199999999999</v>
      </c>
      <c r="AF41">
        <v>0.73307599999999995</v>
      </c>
    </row>
    <row r="42" spans="1:32" x14ac:dyDescent="0.25">
      <c r="A42">
        <v>1.30995E-2</v>
      </c>
      <c r="B42">
        <v>1.3176200000000001E-2</v>
      </c>
      <c r="C42">
        <v>1.3096E-2</v>
      </c>
      <c r="D42">
        <v>1.49684E-2</v>
      </c>
      <c r="E42">
        <v>1.33042E-2</v>
      </c>
      <c r="F42">
        <v>1.34225E-2</v>
      </c>
      <c r="G42">
        <v>1.38662E-2</v>
      </c>
      <c r="H42">
        <v>1.38356E-2</v>
      </c>
      <c r="I42">
        <v>1.5815099999999999E-2</v>
      </c>
      <c r="J42">
        <v>2.00141E-2</v>
      </c>
      <c r="K42">
        <v>2.8218500000000001E-2</v>
      </c>
      <c r="L42">
        <v>4.8031900000000002E-2</v>
      </c>
      <c r="M42">
        <v>8.3229899999999996E-2</v>
      </c>
      <c r="N42">
        <v>0.15710299999999999</v>
      </c>
      <c r="O42">
        <v>0.303564</v>
      </c>
      <c r="P42">
        <v>0.59868399999999999</v>
      </c>
      <c r="Q42">
        <v>9.7947999999999993E-3</v>
      </c>
      <c r="R42">
        <v>9.0460000000000002E-3</v>
      </c>
      <c r="S42">
        <v>9.4286000000000005E-3</v>
      </c>
      <c r="T42">
        <v>8.9581000000000001E-3</v>
      </c>
      <c r="U42">
        <v>9.0798000000000007E-3</v>
      </c>
      <c r="V42">
        <v>9.2256000000000005E-3</v>
      </c>
      <c r="W42">
        <v>9.7441999999999997E-3</v>
      </c>
      <c r="X42">
        <v>1.0292900000000001E-2</v>
      </c>
      <c r="Y42">
        <v>1.32774E-2</v>
      </c>
      <c r="Z42">
        <v>1.85267E-2</v>
      </c>
      <c r="AA42">
        <v>2.9250499999999999E-2</v>
      </c>
      <c r="AB42">
        <v>5.2027700000000003E-2</v>
      </c>
      <c r="AC42">
        <v>9.6579100000000001E-2</v>
      </c>
      <c r="AD42">
        <v>0.18739800000000001</v>
      </c>
      <c r="AE42">
        <v>0.37021199999999999</v>
      </c>
      <c r="AF42">
        <v>0.73303300000000005</v>
      </c>
    </row>
    <row r="43" spans="1:32" x14ac:dyDescent="0.25">
      <c r="A43">
        <v>1.2978399999999999E-2</v>
      </c>
      <c r="B43">
        <v>1.3396099999999999E-2</v>
      </c>
      <c r="C43">
        <v>1.3387E-2</v>
      </c>
      <c r="D43">
        <v>1.36455E-2</v>
      </c>
      <c r="E43">
        <v>1.3059400000000001E-2</v>
      </c>
      <c r="F43">
        <v>1.3225000000000001E-2</v>
      </c>
      <c r="G43">
        <v>1.41061E-2</v>
      </c>
      <c r="H43">
        <v>1.4120199999999999E-2</v>
      </c>
      <c r="I43">
        <v>1.5580500000000001E-2</v>
      </c>
      <c r="J43">
        <v>1.97091E-2</v>
      </c>
      <c r="K43">
        <v>2.9181499999999999E-2</v>
      </c>
      <c r="L43">
        <v>4.7781299999999999E-2</v>
      </c>
      <c r="M43">
        <v>8.3430299999999999E-2</v>
      </c>
      <c r="N43">
        <v>0.15637999999999999</v>
      </c>
      <c r="O43">
        <v>0.30321199999999998</v>
      </c>
      <c r="P43">
        <v>0.59873600000000005</v>
      </c>
      <c r="Q43">
        <v>9.0199000000000008E-3</v>
      </c>
      <c r="R43">
        <v>8.9160000000000003E-3</v>
      </c>
      <c r="S43">
        <v>9.0535000000000008E-3</v>
      </c>
      <c r="T43">
        <v>8.8734999999999994E-3</v>
      </c>
      <c r="U43">
        <v>9.4447000000000003E-3</v>
      </c>
      <c r="V43">
        <v>9.2478999999999999E-3</v>
      </c>
      <c r="W43">
        <v>9.5358000000000005E-3</v>
      </c>
      <c r="X43">
        <v>1.03888E-2</v>
      </c>
      <c r="Y43">
        <v>1.23935E-2</v>
      </c>
      <c r="Z43">
        <v>1.8298100000000001E-2</v>
      </c>
      <c r="AA43">
        <v>2.9474799999999999E-2</v>
      </c>
      <c r="AB43">
        <v>5.1905300000000001E-2</v>
      </c>
      <c r="AC43">
        <v>9.71577E-2</v>
      </c>
      <c r="AD43">
        <v>0.187249</v>
      </c>
      <c r="AE43">
        <v>0.37036000000000002</v>
      </c>
      <c r="AF43">
        <v>0.73314999999999997</v>
      </c>
    </row>
    <row r="44" spans="1:32" x14ac:dyDescent="0.25">
      <c r="A44">
        <v>1.3072800000000001E-2</v>
      </c>
      <c r="B44">
        <v>1.37953E-2</v>
      </c>
      <c r="C44">
        <v>1.31117E-2</v>
      </c>
      <c r="D44">
        <v>1.42004E-2</v>
      </c>
      <c r="E44">
        <v>1.3309E-2</v>
      </c>
      <c r="F44">
        <v>1.30864E-2</v>
      </c>
      <c r="G44">
        <v>1.3789900000000001E-2</v>
      </c>
      <c r="H44">
        <v>1.34821E-2</v>
      </c>
      <c r="I44">
        <v>1.5604099999999999E-2</v>
      </c>
      <c r="J44">
        <v>2.0313500000000002E-2</v>
      </c>
      <c r="K44">
        <v>2.80532E-2</v>
      </c>
      <c r="L44">
        <v>4.7912700000000003E-2</v>
      </c>
      <c r="M44">
        <v>8.3777699999999997E-2</v>
      </c>
      <c r="N44">
        <v>0.156884</v>
      </c>
      <c r="O44">
        <v>0.303429</v>
      </c>
      <c r="P44">
        <v>0.59915499999999999</v>
      </c>
      <c r="Q44">
        <v>8.8748000000000004E-3</v>
      </c>
      <c r="R44">
        <v>9.0553999999999999E-3</v>
      </c>
      <c r="S44">
        <v>9.0440999999999994E-3</v>
      </c>
      <c r="T44">
        <v>8.9686999999999996E-3</v>
      </c>
      <c r="U44">
        <v>9.1967000000000004E-3</v>
      </c>
      <c r="V44">
        <v>9.6180999999999992E-3</v>
      </c>
      <c r="W44">
        <v>9.5887000000000003E-3</v>
      </c>
      <c r="X44">
        <v>1.0339900000000001E-2</v>
      </c>
      <c r="Y44">
        <v>1.29271E-2</v>
      </c>
      <c r="Z44">
        <v>1.88871E-2</v>
      </c>
      <c r="AA44">
        <v>2.91504E-2</v>
      </c>
      <c r="AB44">
        <v>5.1888299999999998E-2</v>
      </c>
      <c r="AC44">
        <v>9.6995999999999999E-2</v>
      </c>
      <c r="AD44">
        <v>0.187191</v>
      </c>
      <c r="AE44">
        <v>0.37033500000000003</v>
      </c>
      <c r="AF44">
        <v>0.73303099999999999</v>
      </c>
    </row>
    <row r="45" spans="1:32" x14ac:dyDescent="0.25">
      <c r="A45">
        <v>1.3476699999999999E-2</v>
      </c>
      <c r="B45">
        <v>1.3368700000000001E-2</v>
      </c>
      <c r="C45">
        <v>1.3380599999999999E-2</v>
      </c>
      <c r="D45">
        <v>1.39363E-2</v>
      </c>
      <c r="E45">
        <v>1.35286E-2</v>
      </c>
      <c r="F45">
        <v>1.3788099999999999E-2</v>
      </c>
      <c r="G45">
        <v>1.35476E-2</v>
      </c>
      <c r="H45">
        <v>1.36188E-2</v>
      </c>
      <c r="I45">
        <v>1.6232E-2</v>
      </c>
      <c r="J45">
        <v>1.9642900000000001E-2</v>
      </c>
      <c r="K45">
        <v>2.88466E-2</v>
      </c>
      <c r="L45">
        <v>4.8084000000000002E-2</v>
      </c>
      <c r="M45">
        <v>8.3379499999999995E-2</v>
      </c>
      <c r="N45">
        <v>0.15726999999999999</v>
      </c>
      <c r="O45">
        <v>0.303309</v>
      </c>
      <c r="P45">
        <v>0.59874000000000005</v>
      </c>
      <c r="Q45">
        <v>9.0113999999999993E-3</v>
      </c>
      <c r="R45">
        <v>8.9075000000000005E-3</v>
      </c>
      <c r="S45">
        <v>9.0515999999999999E-3</v>
      </c>
      <c r="T45">
        <v>9.1269000000000003E-3</v>
      </c>
      <c r="U45">
        <v>8.9838000000000001E-3</v>
      </c>
      <c r="V45">
        <v>9.2805000000000006E-3</v>
      </c>
      <c r="W45">
        <v>9.5032999999999992E-3</v>
      </c>
      <c r="X45">
        <v>1.04289E-2</v>
      </c>
      <c r="Y45">
        <v>1.30533E-2</v>
      </c>
      <c r="Z45">
        <v>1.8370600000000001E-2</v>
      </c>
      <c r="AA45">
        <v>2.8965600000000001E-2</v>
      </c>
      <c r="AB45">
        <v>5.1482100000000003E-2</v>
      </c>
      <c r="AC45">
        <v>9.6869899999999995E-2</v>
      </c>
      <c r="AD45">
        <v>0.18738299999999999</v>
      </c>
      <c r="AE45">
        <v>0.36943799999999999</v>
      </c>
      <c r="AF45">
        <v>0.73281200000000002</v>
      </c>
    </row>
    <row r="46" spans="1:32" x14ac:dyDescent="0.25">
      <c r="A46">
        <v>1.31839E-2</v>
      </c>
      <c r="B46">
        <v>1.3282E-2</v>
      </c>
      <c r="C46">
        <v>1.3550599999999999E-2</v>
      </c>
      <c r="D46">
        <v>1.28624E-2</v>
      </c>
      <c r="E46">
        <v>1.3455E-2</v>
      </c>
      <c r="F46">
        <v>1.3582E-2</v>
      </c>
      <c r="G46">
        <v>1.4007800000000001E-2</v>
      </c>
      <c r="H46">
        <v>1.3821399999999999E-2</v>
      </c>
      <c r="I46">
        <v>1.5690099999999998E-2</v>
      </c>
      <c r="J46">
        <v>1.9804100000000002E-2</v>
      </c>
      <c r="K46">
        <v>2.9135999999999999E-2</v>
      </c>
      <c r="L46">
        <v>4.7140000000000001E-2</v>
      </c>
      <c r="M46">
        <v>8.3600800000000003E-2</v>
      </c>
      <c r="N46">
        <v>0.15672700000000001</v>
      </c>
      <c r="O46">
        <v>0.30352200000000001</v>
      </c>
      <c r="P46">
        <v>0.59888699999999995</v>
      </c>
      <c r="Q46">
        <v>8.9901000000000009E-3</v>
      </c>
      <c r="R46">
        <v>9.2101000000000006E-3</v>
      </c>
      <c r="S46">
        <v>8.8173999999999995E-3</v>
      </c>
      <c r="T46">
        <v>9.0331999999999999E-3</v>
      </c>
      <c r="U46">
        <v>9.2440000000000005E-3</v>
      </c>
      <c r="V46">
        <v>9.1654000000000006E-3</v>
      </c>
      <c r="W46">
        <v>9.4459999999999995E-3</v>
      </c>
      <c r="X46">
        <v>1.0254600000000001E-2</v>
      </c>
      <c r="Y46">
        <v>1.33616E-2</v>
      </c>
      <c r="Z46">
        <v>1.8331400000000001E-2</v>
      </c>
      <c r="AA46">
        <v>2.85399E-2</v>
      </c>
      <c r="AB46">
        <v>5.2014299999999999E-2</v>
      </c>
      <c r="AC46">
        <v>9.67195E-2</v>
      </c>
      <c r="AD46">
        <v>0.18743899999999999</v>
      </c>
      <c r="AE46">
        <v>0.36900899999999998</v>
      </c>
      <c r="AF46">
        <v>0.73288900000000001</v>
      </c>
    </row>
    <row r="47" spans="1:32" x14ac:dyDescent="0.25">
      <c r="A47">
        <v>1.36895E-2</v>
      </c>
      <c r="B47">
        <v>1.3092899999999999E-2</v>
      </c>
      <c r="C47">
        <v>1.3006E-2</v>
      </c>
      <c r="D47">
        <v>1.2985099999999999E-2</v>
      </c>
      <c r="E47">
        <v>1.35795E-2</v>
      </c>
      <c r="F47">
        <v>1.34419E-2</v>
      </c>
      <c r="G47">
        <v>1.3663099999999999E-2</v>
      </c>
      <c r="H47">
        <v>1.40488E-2</v>
      </c>
      <c r="I47">
        <v>1.58715E-2</v>
      </c>
      <c r="J47">
        <v>1.95976E-2</v>
      </c>
      <c r="K47">
        <v>2.8533099999999999E-2</v>
      </c>
      <c r="L47">
        <v>4.7288200000000002E-2</v>
      </c>
      <c r="M47">
        <v>8.3781400000000006E-2</v>
      </c>
      <c r="N47">
        <v>0.15725500000000001</v>
      </c>
      <c r="O47">
        <v>0.30361700000000003</v>
      </c>
      <c r="P47">
        <v>0.59909800000000002</v>
      </c>
      <c r="Q47">
        <v>9.2414999999999997E-3</v>
      </c>
      <c r="R47">
        <v>9.0901999999999997E-3</v>
      </c>
      <c r="S47">
        <v>8.9779999999999999E-3</v>
      </c>
      <c r="T47">
        <v>9.1626999999999993E-3</v>
      </c>
      <c r="U47">
        <v>9.5764999999999999E-3</v>
      </c>
      <c r="V47">
        <v>9.1845999999999994E-3</v>
      </c>
      <c r="W47">
        <v>9.6381999999999995E-3</v>
      </c>
      <c r="X47">
        <v>1.01358E-2</v>
      </c>
      <c r="Y47">
        <v>1.27835E-2</v>
      </c>
      <c r="Z47">
        <v>1.8379300000000001E-2</v>
      </c>
      <c r="AA47">
        <v>2.9034500000000001E-2</v>
      </c>
      <c r="AB47">
        <v>5.1721299999999998E-2</v>
      </c>
      <c r="AC47">
        <v>9.6483600000000003E-2</v>
      </c>
      <c r="AD47">
        <v>0.187165</v>
      </c>
      <c r="AE47">
        <v>0.37032700000000002</v>
      </c>
      <c r="AF47">
        <v>0.73251299999999997</v>
      </c>
    </row>
    <row r="48" spans="1:32" x14ac:dyDescent="0.25">
      <c r="A48">
        <v>1.32418E-2</v>
      </c>
      <c r="B48">
        <v>1.3137299999999999E-2</v>
      </c>
      <c r="C48">
        <v>1.33134E-2</v>
      </c>
      <c r="D48">
        <v>1.3535800000000001E-2</v>
      </c>
      <c r="E48">
        <v>1.3301199999999999E-2</v>
      </c>
      <c r="F48">
        <v>1.34384E-2</v>
      </c>
      <c r="G48">
        <v>1.35306E-2</v>
      </c>
      <c r="H48">
        <v>1.3908500000000001E-2</v>
      </c>
      <c r="I48">
        <v>1.5934299999999998E-2</v>
      </c>
      <c r="J48">
        <v>1.95655E-2</v>
      </c>
      <c r="K48">
        <v>2.83331E-2</v>
      </c>
      <c r="L48">
        <v>4.7853800000000002E-2</v>
      </c>
      <c r="M48">
        <v>8.3195699999999997E-2</v>
      </c>
      <c r="N48">
        <v>0.15712499999999999</v>
      </c>
      <c r="O48">
        <v>0.30310700000000002</v>
      </c>
      <c r="P48">
        <v>0.59933599999999998</v>
      </c>
      <c r="Q48">
        <v>9.1468999999999995E-3</v>
      </c>
      <c r="R48">
        <v>9.1535999999999996E-3</v>
      </c>
      <c r="S48">
        <v>9.0737999999999999E-3</v>
      </c>
      <c r="T48">
        <v>9.1547999999999994E-3</v>
      </c>
      <c r="U48">
        <v>8.9700999999999999E-3</v>
      </c>
      <c r="V48">
        <v>9.1120000000000003E-3</v>
      </c>
      <c r="W48">
        <v>9.3457000000000002E-3</v>
      </c>
      <c r="X48">
        <v>1.01911E-2</v>
      </c>
      <c r="Y48">
        <v>1.29465E-2</v>
      </c>
      <c r="Z48">
        <v>1.8742399999999999E-2</v>
      </c>
      <c r="AA48">
        <v>2.8922400000000001E-2</v>
      </c>
      <c r="AB48">
        <v>5.1747099999999997E-2</v>
      </c>
      <c r="AC48">
        <v>9.6926100000000001E-2</v>
      </c>
      <c r="AD48">
        <v>0.18734100000000001</v>
      </c>
      <c r="AE48">
        <v>0.37035600000000002</v>
      </c>
      <c r="AF48">
        <v>0.732734</v>
      </c>
    </row>
    <row r="49" spans="1:32" x14ac:dyDescent="0.25">
      <c r="A49">
        <v>1.30054E-2</v>
      </c>
      <c r="B49">
        <v>1.3641800000000001E-2</v>
      </c>
      <c r="C49">
        <v>1.31979E-2</v>
      </c>
      <c r="D49">
        <v>1.3572799999999999E-2</v>
      </c>
      <c r="E49">
        <v>1.3043600000000001E-2</v>
      </c>
      <c r="F49">
        <v>1.3066299999999999E-2</v>
      </c>
      <c r="G49">
        <v>1.34457E-2</v>
      </c>
      <c r="H49">
        <v>1.44134E-2</v>
      </c>
      <c r="I49">
        <v>1.53572E-2</v>
      </c>
      <c r="J49">
        <v>1.9888900000000001E-2</v>
      </c>
      <c r="K49">
        <v>2.8347299999999999E-2</v>
      </c>
      <c r="L49">
        <v>4.7698299999999999E-2</v>
      </c>
      <c r="M49">
        <v>8.3644899999999994E-2</v>
      </c>
      <c r="N49">
        <v>0.15737200000000001</v>
      </c>
      <c r="O49">
        <v>0.30343700000000001</v>
      </c>
      <c r="P49">
        <v>0.59892400000000001</v>
      </c>
      <c r="Q49">
        <v>8.9619999999999995E-3</v>
      </c>
      <c r="R49">
        <v>9.1220999999999993E-3</v>
      </c>
      <c r="S49">
        <v>8.9089000000000008E-3</v>
      </c>
      <c r="T49">
        <v>9.2555999999999992E-3</v>
      </c>
      <c r="U49">
        <v>9.2247000000000006E-3</v>
      </c>
      <c r="V49">
        <v>9.2098000000000006E-3</v>
      </c>
      <c r="W49">
        <v>9.4146000000000004E-3</v>
      </c>
      <c r="X49">
        <v>1.03991E-2</v>
      </c>
      <c r="Y49">
        <v>1.2930000000000001E-2</v>
      </c>
      <c r="Z49">
        <v>1.8631600000000002E-2</v>
      </c>
      <c r="AA49">
        <v>2.8554400000000001E-2</v>
      </c>
      <c r="AB49">
        <v>5.13768E-2</v>
      </c>
      <c r="AC49">
        <v>9.6512100000000003E-2</v>
      </c>
      <c r="AD49">
        <v>0.186725</v>
      </c>
      <c r="AE49">
        <v>0.37029400000000001</v>
      </c>
      <c r="AF49">
        <v>0.73275400000000002</v>
      </c>
    </row>
    <row r="50" spans="1:32" x14ac:dyDescent="0.25">
      <c r="A50">
        <v>1.3450999999999999E-2</v>
      </c>
      <c r="B50">
        <v>1.36201E-2</v>
      </c>
      <c r="C50">
        <v>1.32645E-2</v>
      </c>
      <c r="D50">
        <v>1.31574E-2</v>
      </c>
      <c r="E50">
        <v>1.3492199999999999E-2</v>
      </c>
      <c r="F50">
        <v>1.31752E-2</v>
      </c>
      <c r="G50">
        <v>1.33813E-2</v>
      </c>
      <c r="H50">
        <v>1.3339699999999999E-2</v>
      </c>
      <c r="I50">
        <v>1.5490200000000001E-2</v>
      </c>
      <c r="J50">
        <v>2.0137599999999999E-2</v>
      </c>
      <c r="K50">
        <v>2.8265599999999998E-2</v>
      </c>
      <c r="L50">
        <v>4.7461299999999998E-2</v>
      </c>
      <c r="M50">
        <v>8.4486900000000004E-2</v>
      </c>
      <c r="N50">
        <v>0.15753700000000001</v>
      </c>
      <c r="O50">
        <v>0.30338900000000002</v>
      </c>
      <c r="P50">
        <v>0.59909699999999999</v>
      </c>
      <c r="Q50">
        <v>9.0028E-3</v>
      </c>
      <c r="R50">
        <v>9.0851000000000005E-3</v>
      </c>
      <c r="S50">
        <v>9.1307000000000003E-3</v>
      </c>
      <c r="T50">
        <v>9.0314999999999996E-3</v>
      </c>
      <c r="U50">
        <v>9.1122000000000009E-3</v>
      </c>
      <c r="V50">
        <v>9.1518999999999993E-3</v>
      </c>
      <c r="W50">
        <v>9.3550999999999999E-3</v>
      </c>
      <c r="X50">
        <v>1.00328E-2</v>
      </c>
      <c r="Y50">
        <v>1.2877599999999999E-2</v>
      </c>
      <c r="Z50">
        <v>1.8494500000000001E-2</v>
      </c>
      <c r="AA50">
        <v>2.9621100000000001E-2</v>
      </c>
      <c r="AB50">
        <v>5.1532500000000002E-2</v>
      </c>
      <c r="AC50">
        <v>9.6660399999999994E-2</v>
      </c>
      <c r="AD50">
        <v>0.187388</v>
      </c>
      <c r="AE50">
        <v>0.37042999999999998</v>
      </c>
      <c r="AF50">
        <v>0.733182</v>
      </c>
    </row>
    <row r="51" spans="1:32" x14ac:dyDescent="0.25">
      <c r="A51">
        <v>1.3451100000000001E-2</v>
      </c>
      <c r="B51">
        <v>1.3235200000000001E-2</v>
      </c>
      <c r="C51">
        <v>1.3243E-2</v>
      </c>
      <c r="D51">
        <v>1.3780799999999999E-2</v>
      </c>
      <c r="E51">
        <v>1.34276E-2</v>
      </c>
      <c r="F51">
        <v>1.34328E-2</v>
      </c>
      <c r="G51">
        <v>1.34588E-2</v>
      </c>
      <c r="H51">
        <v>1.37199E-2</v>
      </c>
      <c r="I51">
        <v>1.5684500000000001E-2</v>
      </c>
      <c r="J51">
        <v>1.9242800000000001E-2</v>
      </c>
      <c r="K51">
        <v>2.8093300000000002E-2</v>
      </c>
      <c r="L51">
        <v>4.7703599999999999E-2</v>
      </c>
      <c r="M51">
        <v>8.3262799999999998E-2</v>
      </c>
      <c r="N51">
        <v>0.156555</v>
      </c>
      <c r="O51">
        <v>0.30320900000000001</v>
      </c>
      <c r="P51">
        <v>0.59912200000000004</v>
      </c>
      <c r="Q51">
        <v>8.9537000000000002E-3</v>
      </c>
      <c r="R51">
        <v>9.0781999999999998E-3</v>
      </c>
      <c r="S51">
        <v>9.0548999999999994E-3</v>
      </c>
      <c r="T51">
        <v>9.0195999999999991E-3</v>
      </c>
      <c r="U51">
        <v>9.1430000000000001E-3</v>
      </c>
      <c r="V51">
        <v>9.5329000000000004E-3</v>
      </c>
      <c r="W51">
        <v>9.7599999999999996E-3</v>
      </c>
      <c r="X51">
        <v>9.9787000000000001E-3</v>
      </c>
      <c r="Y51">
        <v>1.27566E-2</v>
      </c>
      <c r="Z51">
        <v>1.84812E-2</v>
      </c>
      <c r="AA51">
        <v>2.9351800000000001E-2</v>
      </c>
      <c r="AB51">
        <v>5.1753E-2</v>
      </c>
      <c r="AC51">
        <v>9.6579300000000007E-2</v>
      </c>
      <c r="AD51">
        <v>0.187419</v>
      </c>
      <c r="AE51">
        <v>0.37038300000000002</v>
      </c>
      <c r="AF51">
        <v>0.73306800000000005</v>
      </c>
    </row>
    <row r="52" spans="1:32" x14ac:dyDescent="0.25">
      <c r="A52">
        <f>AVERAGE(x[minMaxPar_50_15.txt])</f>
        <v>1.3208308000000004E-2</v>
      </c>
      <c r="B52">
        <f>AVERAGE(x[minMaxPar_50_16.txt])</f>
        <v>1.3323748E-2</v>
      </c>
      <c r="C52">
        <f>AVERAGE(x[minMaxPar_50_17.txt])</f>
        <v>1.3319283999999995E-2</v>
      </c>
      <c r="D52">
        <f>AVERAGE(x[minMaxPar_50_18.txt])</f>
        <v>1.3477790000000003E-2</v>
      </c>
      <c r="E52">
        <f>AVERAGE(x[minMaxPar_50_19.txt])</f>
        <v>1.3475354000000002E-2</v>
      </c>
      <c r="F52">
        <f>AVERAGE(x[minMaxPar_50_20.txt])</f>
        <v>1.3540412000000003E-2</v>
      </c>
      <c r="G52">
        <f>AVERAGE(x[minMaxPar_50_21.txt])</f>
        <v>1.3833586000000007E-2</v>
      </c>
      <c r="H52">
        <f>AVERAGE(x[minMaxPar_50_22.txt])</f>
        <v>1.4184499999999999E-2</v>
      </c>
      <c r="I52">
        <f>AVERAGE(x[minMaxPar_50_23.txt])</f>
        <v>1.5777651999999996E-2</v>
      </c>
      <c r="J52">
        <f>AVERAGE(x[minMaxPar_50_24.txt])</f>
        <v>2.0116956000000005E-2</v>
      </c>
      <c r="K52">
        <f>AVERAGE(x[minMaxPar_50_25.txt])</f>
        <v>2.8645762000000002E-2</v>
      </c>
      <c r="L52">
        <f>AVERAGE(x[minMaxPar_50_26.txt])</f>
        <v>4.7090352000000009E-2</v>
      </c>
      <c r="M52">
        <f>AVERAGE(x[minMaxPar_50_27.txt])</f>
        <v>8.3415582000000002E-2</v>
      </c>
      <c r="N52">
        <f>AVERAGE(x[minMaxPar_50_28.txt])</f>
        <v>0.15705087999999998</v>
      </c>
      <c r="O52">
        <f>AVERAGE(x[minMaxPar_50_29.txt])</f>
        <v>0.30339294</v>
      </c>
      <c r="P52">
        <f>AVERAGE(x[minMaxPar_50_30.txt])</f>
        <v>0.59875998000000008</v>
      </c>
      <c r="Q52">
        <f>AVERAGE(x[montePar_50_15.txt])</f>
        <v>9.6807359999999971E-3</v>
      </c>
      <c r="R52">
        <f>AVERAGE(x[montePar_50_16.txt])</f>
        <v>9.0650639999999994E-3</v>
      </c>
      <c r="S52">
        <f>AVERAGE(x[montePar_50_17.txt])</f>
        <v>9.0602440000000003E-3</v>
      </c>
      <c r="T52">
        <f>AVERAGE(x[montePar_50_18.txt])</f>
        <v>9.1303700000000022E-3</v>
      </c>
      <c r="U52">
        <f>AVERAGE(x[montePar_50_19.txt])</f>
        <v>9.1415639999999996E-3</v>
      </c>
      <c r="V52">
        <f>AVERAGE(x[montePar_50_20.txt])</f>
        <v>9.2680160000000004E-3</v>
      </c>
      <c r="W52">
        <f>AVERAGE(x[montePar_50_21.txt])</f>
        <v>9.4878299999999992E-3</v>
      </c>
      <c r="X52">
        <f>AVERAGE(x[montePar_50_22.txt])</f>
        <v>1.0301497999999997E-2</v>
      </c>
      <c r="Y52">
        <f>AVERAGE(x[montePar_50_23.txt])</f>
        <v>1.2934434E-2</v>
      </c>
      <c r="Z52">
        <f>AVERAGE(x[montePar_50_24.txt])</f>
        <v>1.8423234E-2</v>
      </c>
      <c r="AA52">
        <f>AVERAGE(x[montePar_50_25.txt])</f>
        <v>2.9066648E-2</v>
      </c>
      <c r="AB52">
        <f>AVERAGE(x[montePar_50_26.txt])</f>
        <v>5.1976598000000013E-2</v>
      </c>
      <c r="AC52">
        <f>AVERAGE(x[montePar_50_27.txt])</f>
        <v>9.6732030000000011E-2</v>
      </c>
      <c r="AD52">
        <f>AVERAGE(x[montePar_50_28.txt])</f>
        <v>0.18729604</v>
      </c>
      <c r="AE52">
        <f>AVERAGE(x[montePar_50_29.txt])</f>
        <v>0.36998641999999998</v>
      </c>
      <c r="AF52">
        <f>AVERAGE(x[montePar_50_30.txt])</f>
        <v>0.73300909999999986</v>
      </c>
    </row>
    <row r="53" spans="1:32" x14ac:dyDescent="0.25">
      <c r="A53">
        <f>_xlfn.STDEV.P(x[minMaxPar_50_15.txt])</f>
        <v>2.516139684834688E-4</v>
      </c>
      <c r="B53">
        <f>_xlfn.STDEV.P(x[minMaxPar_50_16.txt])</f>
        <v>3.2279717795544611E-4</v>
      </c>
      <c r="C53">
        <f>_xlfn.STDEV.P(x[minMaxPar_50_17.txt])</f>
        <v>2.481092334920247E-4</v>
      </c>
      <c r="D53">
        <f>_xlfn.STDEV.P(x[minMaxPar_50_18.txt])</f>
        <v>4.0591405309498707E-4</v>
      </c>
      <c r="E53">
        <f>_xlfn.STDEV.P(x[minMaxPar_50_19.txt])</f>
        <v>3.5349733702533048E-4</v>
      </c>
      <c r="F53">
        <f>_xlfn.STDEV.P(x[minMaxPar_50_20.txt])</f>
        <v>4.751908554002276E-4</v>
      </c>
      <c r="G53">
        <f>_xlfn.STDEV.P(x[minMaxPar_50_21.txt])</f>
        <v>5.3086199789022378E-4</v>
      </c>
      <c r="H53">
        <f>_xlfn.STDEV.P(x[minMaxPar_50_22.txt])</f>
        <v>4.9148902530982315E-4</v>
      </c>
      <c r="I53">
        <f>_xlfn.STDEV.P(x[minMaxPar_50_23.txt])</f>
        <v>3.2024442929737273E-4</v>
      </c>
      <c r="J53">
        <f>_xlfn.STDEV.P(x[minMaxPar_50_24.txt])</f>
        <v>4.7894402978218651E-4</v>
      </c>
      <c r="K53">
        <f>_xlfn.STDEV.P(x[minMaxPar_50_25.txt])</f>
        <v>4.338426101203061E-4</v>
      </c>
      <c r="L53">
        <f>_xlfn.STDEV.P(x[minMaxPar_50_26.txt])</f>
        <v>5.5489296598172893E-4</v>
      </c>
      <c r="M53">
        <f>_xlfn.STDEV.P(x[minMaxPar_50_27.txt])</f>
        <v>2.5450312901023511E-4</v>
      </c>
      <c r="N53">
        <f>_xlfn.STDEV.P(x[minMaxPar_50_28.txt])</f>
        <v>7.9472384235028349E-4</v>
      </c>
      <c r="O53">
        <f>_xlfn.STDEV.P(x[minMaxPar_50_29.txt])</f>
        <v>3.3561492279098851E-4</v>
      </c>
      <c r="P53">
        <f>_xlfn.STDEV.P(x[minMaxPar_50_30.txt])</f>
        <v>4.6786162441474259E-4</v>
      </c>
      <c r="Q53">
        <f>_xlfn.STDEV.P(x[montePar_50_15.txt])</f>
        <v>8.765446901921203E-4</v>
      </c>
      <c r="R53">
        <f>_xlfn.STDEV.P(x[montePar_50_16.txt])</f>
        <v>1.2659673101624711E-4</v>
      </c>
      <c r="S53">
        <f>_xlfn.STDEV.P(x[montePar_50_17.txt])</f>
        <v>2.7741876660384738E-4</v>
      </c>
      <c r="T53">
        <f>_xlfn.STDEV.P(x[montePar_50_18.txt])</f>
        <v>2.0289222878168607E-4</v>
      </c>
      <c r="U53">
        <f>_xlfn.STDEV.P(x[montePar_50_19.txt])</f>
        <v>1.3998581608148738E-4</v>
      </c>
      <c r="V53">
        <f>_xlfn.STDEV.P(x[montePar_50_20.txt])</f>
        <v>1.912708596310478E-4</v>
      </c>
      <c r="W53">
        <f>_xlfn.STDEV.P(x[montePar_50_21.txt])</f>
        <v>1.6782262094247003E-4</v>
      </c>
      <c r="X53">
        <f>_xlfn.STDEV.P(x[montePar_50_22.txt])</f>
        <v>1.613517976224622E-4</v>
      </c>
      <c r="Y53">
        <f>_xlfn.STDEV.P(x[montePar_50_23.txt])</f>
        <v>1.9363406994638103E-4</v>
      </c>
      <c r="Z53">
        <f>_xlfn.STDEV.P(x[montePar_50_24.txt])</f>
        <v>2.7018843469697225E-4</v>
      </c>
      <c r="AA53">
        <f>_xlfn.STDEV.P(x[montePar_50_25.txt])</f>
        <v>3.6703590627621161E-4</v>
      </c>
      <c r="AB53">
        <f>_xlfn.STDEV.P(x[montePar_50_26.txt])</f>
        <v>3.8932733348173725E-4</v>
      </c>
      <c r="AC53">
        <f>_xlfn.STDEV.P(x[montePar_50_27.txt])</f>
        <v>2.3330873386995067E-4</v>
      </c>
      <c r="AD53">
        <f>_xlfn.STDEV.P(x[montePar_50_28.txt])</f>
        <v>2.559839807487957E-4</v>
      </c>
      <c r="AE53">
        <f>_xlfn.STDEV.P(x[montePar_50_29.txt])</f>
        <v>8.2782090067839975E-4</v>
      </c>
      <c r="AF53">
        <f>_xlfn.STDEV.P(x[montePar_50_30.txt])</f>
        <v>2.830944895260291E-4</v>
      </c>
    </row>
    <row r="54" spans="1:32" x14ac:dyDescent="0.25">
      <c r="A54" s="3">
        <f>A53/x[[#Totals],[minMaxPar_50_15.txt]]</f>
        <v>1.9049674529354459E-2</v>
      </c>
      <c r="B54" s="3">
        <f>B53/x[[#Totals],[minMaxPar_50_16.txt]]</f>
        <v>2.4227205284537513E-2</v>
      </c>
      <c r="C54" s="3">
        <f>C53/x[[#Totals],[minMaxPar_50_17.txt]]</f>
        <v>1.8627820646517093E-2</v>
      </c>
      <c r="D54" s="3">
        <f>D53/x[[#Totals],[minMaxPar_50_18.txt]]</f>
        <v>3.0117256100220213E-2</v>
      </c>
      <c r="E54" s="3">
        <f>E53/x[[#Totals],[minMaxPar_50_19.txt]]</f>
        <v>2.6232879449796305E-2</v>
      </c>
      <c r="F54" s="3">
        <f>F53/x[[#Totals],[minMaxPar_50_20.txt]]</f>
        <v>3.5094268579141275E-2</v>
      </c>
      <c r="G54" s="3">
        <f>G53/x[[#Totals],[minMaxPar_50_21.txt]]</f>
        <v>3.8374865193321783E-2</v>
      </c>
      <c r="H54" s="3">
        <f>H53/x[[#Totals],[minMaxPar_50_22.txt]]</f>
        <v>3.4649725073835749E-2</v>
      </c>
      <c r="I54" s="3">
        <f>I53/x[[#Totals],[minMaxPar_50_23.txt]]</f>
        <v>2.0297343945561281E-2</v>
      </c>
      <c r="J54" s="3">
        <f>J53/x[[#Totals],[minMaxPar_50_24.txt]]</f>
        <v>2.3807977200038931E-2</v>
      </c>
      <c r="K54" s="3">
        <f>K53/x[[#Totals],[minMaxPar_50_25.txt]]</f>
        <v>1.514508883095189E-2</v>
      </c>
      <c r="L54" s="3">
        <f>L53/x[[#Totals],[minMaxPar_50_26.txt]]</f>
        <v>1.1783580763671692E-2</v>
      </c>
      <c r="M54" s="3">
        <f>M53/x[[#Totals],[minMaxPar_50_27.txt]]</f>
        <v>3.0510262340462373E-3</v>
      </c>
      <c r="N54" s="3">
        <f>N53/x[[#Totals],[minMaxPar_50_28.txt]]</f>
        <v>5.0602953791171598E-3</v>
      </c>
      <c r="O54" s="3">
        <f>O53/x[[#Totals],[minMaxPar_50_29.txt]]</f>
        <v>1.1062054469394987E-3</v>
      </c>
      <c r="P54" s="3">
        <f>P53/x[[#Totals],[minMaxPar_50_30.txt]]</f>
        <v>7.8138426087652436E-4</v>
      </c>
      <c r="Q54" s="3">
        <f>Q53/x[[#Totals],[montePar_50_15.txt]]</f>
        <v>9.0545252984083086E-2</v>
      </c>
      <c r="R54" s="3">
        <f>R53/x[[#Totals],[montePar_50_16.txt]]</f>
        <v>1.3965343324244275E-2</v>
      </c>
      <c r="S54" s="3">
        <f>S53/x[[#Totals],[montePar_50_17.txt]]</f>
        <v>3.0619348287291973E-2</v>
      </c>
      <c r="T54" s="3">
        <f>T53/x[[#Totals],[montePar_50_18.txt]]</f>
        <v>2.2221687487110162E-2</v>
      </c>
      <c r="U54" s="3">
        <f>U53/x[[#Totals],[montePar_50_19.txt]]</f>
        <v>1.5313114482542307E-2</v>
      </c>
      <c r="V54" s="3">
        <f>V53/x[[#Totals],[montePar_50_20.txt]]</f>
        <v>2.0637735156159395E-2</v>
      </c>
      <c r="W54" s="3">
        <f>W53/x[[#Totals],[montePar_50_21.txt]]</f>
        <v>1.7688198559888832E-2</v>
      </c>
      <c r="X54" s="3">
        <f>X53/x[[#Totals],[montePar_50_22.txt]]</f>
        <v>1.5662945100068187E-2</v>
      </c>
      <c r="Y54" s="3">
        <f>Y53/x[[#Totals],[montePar_50_23.txt]]</f>
        <v>1.4970432409054855E-2</v>
      </c>
      <c r="Z54" s="3">
        <f>Z53/x[[#Totals],[montePar_50_24.txt]]</f>
        <v>1.4665635506609331E-2</v>
      </c>
      <c r="AA54" s="3">
        <f>AA53/x[[#Totals],[montePar_50_25.txt]]</f>
        <v>1.2627390205991816E-2</v>
      </c>
      <c r="AB54" s="3">
        <f>AB53/x[[#Totals],[montePar_50_26.txt]]</f>
        <v>7.4904350893018655E-3</v>
      </c>
      <c r="AC54" s="3">
        <f>AC53/x[[#Totals],[montePar_50_27.txt]]</f>
        <v>2.4119077607484374E-3</v>
      </c>
      <c r="AD54" s="3">
        <f>AD53/x[[#Totals],[montePar_50_28.txt]]</f>
        <v>1.3667346130158209E-3</v>
      </c>
      <c r="AE54" s="3">
        <f>AE53/x[[#Totals],[montePar_50_29.txt]]</f>
        <v>2.2374359055621551E-3</v>
      </c>
      <c r="AF54" s="3">
        <f>AF53/x[[#Totals],[montePar_50_30.txt]]</f>
        <v>3.8620869717173926E-4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8 F A A B Q S w M E F A A C A A g A W 7 1 8 U U J D 8 / K k A A A A 9 Q A A A B I A H A B D b 2 5 m a W c v U G F j a 2 F n Z S 5 4 b W w g o h g A K K A U A A A A A A A A A A A A A A A A A A A A A A A A A A A A h Y 8 x D o I w G I W v Q r r T l h q V k J 8 y u E J C Y m J c S a n Q C I X Q Y r m b g 0 f y C m I U d X N 8 3 / u G 9 + 7 X G y R T 2 3 g X O R j V 6 R g F m C J P a t G V S l c x G u 3 J D 1 H C I S / E u a i k N 8 v a R J M p Y 1 R b 2 0 e E O O e w W + F u q A i j N C D H L N 2 L W r Y F + s j q v + w r b W y h h U Q c D q 8 x n O F w g 7 d s j S m Q h U G m 9 L d n 8 9 x n + w N h N z Z 2 H C T v G z 9 P g S w R y P s C f w B Q S w M E F A A C A A g A W 7 1 8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u 9 f F F s E s + M 6 Q I A A I 9 D A A A T A B w A R m 9 y b X V s Y X M v U 2 V j d G l v b j E u b S C i G A A o o B Q A A A A A A A A A A A A A A A A A A A A A A A A A A A D t m U 9 v 2 j A Y h + 9 I f A c r v Y A U I Q j Q P 6 s 4 T L B p l 1 W d 4 L Q y I Z N 4 E B H b z H Y K t O q l X 6 m n S b t V f K + F 0 V B r I o 7 R N p j E 2 0 s L f Q q 8 r 3 7 m + a V I 4 q u Q M 9 R d f 6 9 d F g v F g h x j Q Q I 0 R y 0 U E V U s o O R r + V 0 8 P w X L R 5 7 c 2 Z a 3 l Q 7 3 Y 0 q Y K r 0 P I 1 J p c 6 a S G 7 L k d N 7 0 u y o O Q t y n q / s G P h Y R H 1 C i x j z o 8 1 j 1 O 2 Q Y j / q 1 a h U N I + 5 P J G r W P K T G g u B A I u R z 2 Z 9 X f H n r l N 2 b D o l C G i o i W s 6 l 4 6 I 2 j 2 L K Z K v u u e g d 8 3 k Q s l G r 5 j W r L v o U c 0 W 6 a h G R 1 u u P l S v O y J e y u x 7 g x L n C o + X j 8 9 N s E i K O p j y Y L Z Y / 5 B 1 n C 5 r c u g s 5 D Y m T T N f D w + R v r w W n y Q N 9 S F 4 W E b K 0 G d 9 F N y + / e h t F X R 9 H W M i W E r H + R J + T R 2 L J N j l S i + n r Q / Y E Z v I r F 3 Q 9 S G 8 x J b J k 9 7 L c + 3 u H h u w j n l 9 j M W h W B 7 V m R c 1 V s p T k G Q h i M R 0 S 8 e C i 3 6 l T K + r M i j q 3 o i 5 s K K 9 q R d W s K M + K q l t R D S v K a v e e 1 e 4 9 q 9 1 7 V r v 3 r H Z f z 9 z 9 6 r z m x k u H M i f U o c w B d S h z P h 3 K H E + D s p O l Q 5 n B 0 q H M X O l Q Z q x 0 K D N V O m S z 8 e x M 6 Z D N x r M T p U M 2 G 9 + a p 4 d y s R C y 7 e + H u m J O n D k q e W V n / 6 a R E 0 6 n U T j h M 8 w w K A e U A 8 o B 5 Y B y j k Q 5 9 X 0 p h + L 5 R j l w b Q O i A d G A a E A 0 x y O a x i F E A 9 c 2 o B x Q D i g H l H O M y m n + U + W s P L P l 3 2 l w b Q O i A d G A a E A 0 x y O a 0 0 O I B q 5 t Q D m g H F A O K O c Y l X O 2 L + X s + r l N s w G i A d G A a P 6 2 a H 5 R X f L N I l 8 p Z Z 4 x p c w z p p R 5 x p Q y z / h C 5 e Q r p c z 5 S i l z v l L K n K + U M u c r p a w s D 1 U A q s A f V I E N l H v g d c g 4 X e 5 x 1 y H j d L m H X Y P M e c o 9 6 j p k z F P u Q d c h Y 5 5 M x 3 y n h n Y O D Q 0 a G j Q 0 a G j Q 0 K C h Q U O D h g Y N 7 T 9 r a B e H a G i 7 f W w D X Q 2 6 G n Q 1 6 G r Q 1 a C r Q V e D r n Y 0 X e 0 n U E s B A i 0 A F A A C A A g A W 7 1 8 U U J D 8 / K k A A A A 9 Q A A A B I A A A A A A A A A A A A A A A A A A A A A A E N v b m Z p Z y 9 Q Y W N r Y W d l L n h t b F B L A Q I t A B Q A A g A I A F u 9 f F E P y u m r p A A A A O k A A A A T A A A A A A A A A A A A A A A A A P A A A A B b Q 2 9 u d G V u d F 9 U e X B l c 1 0 u e G 1 s U E s B A i 0 A F A A C A A g A W 7 1 8 U W w S z 4 z p A g A A j 0 M A A B M A A A A A A A A A A A A A A A A A 4 Q E A A E Z v c m 1 1 b G F z L 1 N l Y 3 R p b 2 4 x L m 1 Q S w U G A A A A A A M A A w D C A A A A F w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u C 0 B A A A A A A C W L Q E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e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g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E t M j h U M T c 6 N D g 6 M z I u N j Y x M D Y 5 N F o i I C 8 + P E V u d H J 5 I F R 5 c G U 9 I k Z p b G x D b 2 x 1 b W 5 U e X B l c y I g V m F s d W U 9 I n N C U V V G Q l F V R k J R V U Z C U V V G Q l F V R k J R V U Z C U V V G Q l F V R k J R V U Z C U V V G Q l F V P S I g L z 4 8 R W 5 0 c n k g V H l w Z T 0 i R m l s b E N v b H V t b k 5 h b W V z I i B W Y W x 1 Z T 0 i c 1 s m c X V v d D t t a W 5 N Y X h Q Y X J f N T B f M T U u d H h 0 J n F 1 b 3 Q 7 L C Z x d W 9 0 O 2 1 p b k 1 h e F B h c l 8 1 M F 8 x N i 5 0 e H Q m c X V v d D s s J n F 1 b 3 Q 7 b W l u T W F 4 U G F y X z U w X z E 3 L n R 4 d C Z x d W 9 0 O y w m c X V v d D t t a W 5 N Y X h Q Y X J f N T B f M T g u d H h 0 J n F 1 b 3 Q 7 L C Z x d W 9 0 O 2 1 p b k 1 h e F B h c l 8 1 M F 8 x O S 5 0 e H Q m c X V v d D s s J n F 1 b 3 Q 7 b W l u T W F 4 U G F y X z U w X z I w L n R 4 d C Z x d W 9 0 O y w m c X V v d D t t a W 5 N Y X h Q Y X J f N T B f M j E u d H h 0 J n F 1 b 3 Q 7 L C Z x d W 9 0 O 2 1 p b k 1 h e F B h c l 8 1 M F 8 y M i 5 0 e H Q m c X V v d D s s J n F 1 b 3 Q 7 b W l u T W F 4 U G F y X z U w X z I z L n R 4 d C Z x d W 9 0 O y w m c X V v d D t t a W 5 N Y X h Q Y X J f N T B f M j Q u d H h 0 J n F 1 b 3 Q 7 L C Z x d W 9 0 O 2 1 p b k 1 h e F B h c l 8 1 M F 8 y N S 5 0 e H Q m c X V v d D s s J n F 1 b 3 Q 7 b W l u T W F 4 U G F y X z U w X z I 2 L n R 4 d C Z x d W 9 0 O y w m c X V v d D t t a W 5 N Y X h Q Y X J f N T B f M j c u d H h 0 J n F 1 b 3 Q 7 L C Z x d W 9 0 O 2 1 p b k 1 h e F B h c l 8 1 M F 8 y O C 5 0 e H Q m c X V v d D s s J n F 1 b 3 Q 7 b W l u T W F 4 U G F y X z U w X z I 5 L n R 4 d C Z x d W 9 0 O y w m c X V v d D t t a W 5 N Y X h Q Y X J f N T B f M z A u d H h 0 J n F 1 b 3 Q 7 L C Z x d W 9 0 O 2 1 v b n R l U G F y X z U w X z E 1 L n R 4 d C Z x d W 9 0 O y w m c X V v d D t t b 2 5 0 Z V B h c l 8 1 M F 8 x N i 5 0 e H Q m c X V v d D s s J n F 1 b 3 Q 7 b W 9 u d G V Q Y X J f N T B f M T c u d H h 0 J n F 1 b 3 Q 7 L C Z x d W 9 0 O 2 1 v b n R l U G F y X z U w X z E 4 L n R 4 d C Z x d W 9 0 O y w m c X V v d D t t b 2 5 0 Z V B h c l 8 1 M F 8 x O S 5 0 e H Q m c X V v d D s s J n F 1 b 3 Q 7 b W 9 u d G V Q Y X J f N T B f M j A u d H h 0 J n F 1 b 3 Q 7 L C Z x d W 9 0 O 2 1 v b n R l U G F y X z U w X z I x L n R 4 d C Z x d W 9 0 O y w m c X V v d D t t b 2 5 0 Z V B h c l 8 1 M F 8 y M i 5 0 e H Q m c X V v d D s s J n F 1 b 3 Q 7 b W 9 u d G V Q Y X J f N T B f M j M u d H h 0 J n F 1 b 3 Q 7 L C Z x d W 9 0 O 2 1 v b n R l U G F y X z U w X z I 0 L n R 4 d C Z x d W 9 0 O y w m c X V v d D t t b 2 5 0 Z V B h c l 8 1 M F 8 y N S 5 0 e H Q m c X V v d D s s J n F 1 b 3 Q 7 b W 9 u d G V Q Y X J f N T B f M j Y u d H h 0 J n F 1 b 3 Q 7 L C Z x d W 9 0 O 2 1 v b n R l U G F y X z U w X z I 3 L n R 4 d C Z x d W 9 0 O y w m c X V v d D t t b 2 5 0 Z V B h c l 8 1 M F 8 y O C 5 0 e H Q m c X V v d D s s J n F 1 b 3 Q 7 b W 9 u d G V Q Y X J f N T B f M j k u d H h 0 J n F 1 b 3 Q 7 L C Z x d W 9 0 O 2 1 v b n R l U G F y X z U w X z M w L n R 4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4 L 0 F 1 d G 9 S Z W 1 v d m V k Q 2 9 s d W 1 u c z E u e 2 1 p b k 1 h e F B h c l 8 1 M F 8 x N S 5 0 e H Q s M H 0 m c X V v d D s s J n F 1 b 3 Q 7 U 2 V j d G l v b j E v e C 9 B d X R v U m V t b 3 Z l Z E N v b H V t b n M x L n t t a W 5 N Y X h Q Y X J f N T B f M T Y u d H h 0 L D F 9 J n F 1 b 3 Q 7 L C Z x d W 9 0 O 1 N l Y 3 R p b 2 4 x L 3 g v Q X V 0 b 1 J l b W 9 2 Z W R D b 2 x 1 b W 5 z M S 5 7 b W l u T W F 4 U G F y X z U w X z E 3 L n R 4 d C w y f S Z x d W 9 0 O y w m c X V v d D t T Z W N 0 a W 9 u M S 9 4 L 0 F 1 d G 9 S Z W 1 v d m V k Q 2 9 s d W 1 u c z E u e 2 1 p b k 1 h e F B h c l 8 1 M F 8 x O C 5 0 e H Q s M 3 0 m c X V v d D s s J n F 1 b 3 Q 7 U 2 V j d G l v b j E v e C 9 B d X R v U m V t b 3 Z l Z E N v b H V t b n M x L n t t a W 5 N Y X h Q Y X J f N T B f M T k u d H h 0 L D R 9 J n F 1 b 3 Q 7 L C Z x d W 9 0 O 1 N l Y 3 R p b 2 4 x L 3 g v Q X V 0 b 1 J l b W 9 2 Z W R D b 2 x 1 b W 5 z M S 5 7 b W l u T W F 4 U G F y X z U w X z I w L n R 4 d C w 1 f S Z x d W 9 0 O y w m c X V v d D t T Z W N 0 a W 9 u M S 9 4 L 0 F 1 d G 9 S Z W 1 v d m V k Q 2 9 s d W 1 u c z E u e 2 1 p b k 1 h e F B h c l 8 1 M F 8 y M S 5 0 e H Q s N n 0 m c X V v d D s s J n F 1 b 3 Q 7 U 2 V j d G l v b j E v e C 9 B d X R v U m V t b 3 Z l Z E N v b H V t b n M x L n t t a W 5 N Y X h Q Y X J f N T B f M j I u d H h 0 L D d 9 J n F 1 b 3 Q 7 L C Z x d W 9 0 O 1 N l Y 3 R p b 2 4 x L 3 g v Q X V 0 b 1 J l b W 9 2 Z W R D b 2 x 1 b W 5 z M S 5 7 b W l u T W F 4 U G F y X z U w X z I z L n R 4 d C w 4 f S Z x d W 9 0 O y w m c X V v d D t T Z W N 0 a W 9 u M S 9 4 L 0 F 1 d G 9 S Z W 1 v d m V k Q 2 9 s d W 1 u c z E u e 2 1 p b k 1 h e F B h c l 8 1 M F 8 y N C 5 0 e H Q s O X 0 m c X V v d D s s J n F 1 b 3 Q 7 U 2 V j d G l v b j E v e C 9 B d X R v U m V t b 3 Z l Z E N v b H V t b n M x L n t t a W 5 N Y X h Q Y X J f N T B f M j U u d H h 0 L D E w f S Z x d W 9 0 O y w m c X V v d D t T Z W N 0 a W 9 u M S 9 4 L 0 F 1 d G 9 S Z W 1 v d m V k Q 2 9 s d W 1 u c z E u e 2 1 p b k 1 h e F B h c l 8 1 M F 8 y N i 5 0 e H Q s M T F 9 J n F 1 b 3 Q 7 L C Z x d W 9 0 O 1 N l Y 3 R p b 2 4 x L 3 g v Q X V 0 b 1 J l b W 9 2 Z W R D b 2 x 1 b W 5 z M S 5 7 b W l u T W F 4 U G F y X z U w X z I 3 L n R 4 d C w x M n 0 m c X V v d D s s J n F 1 b 3 Q 7 U 2 V j d G l v b j E v e C 9 B d X R v U m V t b 3 Z l Z E N v b H V t b n M x L n t t a W 5 N Y X h Q Y X J f N T B f M j g u d H h 0 L D E z f S Z x d W 9 0 O y w m c X V v d D t T Z W N 0 a W 9 u M S 9 4 L 0 F 1 d G 9 S Z W 1 v d m V k Q 2 9 s d W 1 u c z E u e 2 1 p b k 1 h e F B h c l 8 1 M F 8 y O S 5 0 e H Q s M T R 9 J n F 1 b 3 Q 7 L C Z x d W 9 0 O 1 N l Y 3 R p b 2 4 x L 3 g v Q X V 0 b 1 J l b W 9 2 Z W R D b 2 x 1 b W 5 z M S 5 7 b W l u T W F 4 U G F y X z U w X z M w L n R 4 d C w x N X 0 m c X V v d D s s J n F 1 b 3 Q 7 U 2 V j d G l v b j E v e C 9 B d X R v U m V t b 3 Z l Z E N v b H V t b n M x L n t t b 2 5 0 Z V B h c l 8 1 M F 8 x N S 5 0 e H Q s M T Z 9 J n F 1 b 3 Q 7 L C Z x d W 9 0 O 1 N l Y 3 R p b 2 4 x L 3 g v Q X V 0 b 1 J l b W 9 2 Z W R D b 2 x 1 b W 5 z M S 5 7 b W 9 u d G V Q Y X J f N T B f M T Y u d H h 0 L D E 3 f S Z x d W 9 0 O y w m c X V v d D t T Z W N 0 a W 9 u M S 9 4 L 0 F 1 d G 9 S Z W 1 v d m V k Q 2 9 s d W 1 u c z E u e 2 1 v b n R l U G F y X z U w X z E 3 L n R 4 d C w x O H 0 m c X V v d D s s J n F 1 b 3 Q 7 U 2 V j d G l v b j E v e C 9 B d X R v U m V t b 3 Z l Z E N v b H V t b n M x L n t t b 2 5 0 Z V B h c l 8 1 M F 8 x O C 5 0 e H Q s M T l 9 J n F 1 b 3 Q 7 L C Z x d W 9 0 O 1 N l Y 3 R p b 2 4 x L 3 g v Q X V 0 b 1 J l b W 9 2 Z W R D b 2 x 1 b W 5 z M S 5 7 b W 9 u d G V Q Y X J f N T B f M T k u d H h 0 L D I w f S Z x d W 9 0 O y w m c X V v d D t T Z W N 0 a W 9 u M S 9 4 L 0 F 1 d G 9 S Z W 1 v d m V k Q 2 9 s d W 1 u c z E u e 2 1 v b n R l U G F y X z U w X z I w L n R 4 d C w y M X 0 m c X V v d D s s J n F 1 b 3 Q 7 U 2 V j d G l v b j E v e C 9 B d X R v U m V t b 3 Z l Z E N v b H V t b n M x L n t t b 2 5 0 Z V B h c l 8 1 M F 8 y M S 5 0 e H Q s M j J 9 J n F 1 b 3 Q 7 L C Z x d W 9 0 O 1 N l Y 3 R p b 2 4 x L 3 g v Q X V 0 b 1 J l b W 9 2 Z W R D b 2 x 1 b W 5 z M S 5 7 b W 9 u d G V Q Y X J f N T B f M j I u d H h 0 L D I z f S Z x d W 9 0 O y w m c X V v d D t T Z W N 0 a W 9 u M S 9 4 L 0 F 1 d G 9 S Z W 1 v d m V k Q 2 9 s d W 1 u c z E u e 2 1 v b n R l U G F y X z U w X z I z L n R 4 d C w y N H 0 m c X V v d D s s J n F 1 b 3 Q 7 U 2 V j d G l v b j E v e C 9 B d X R v U m V t b 3 Z l Z E N v b H V t b n M x L n t t b 2 5 0 Z V B h c l 8 1 M F 8 y N C 5 0 e H Q s M j V 9 J n F 1 b 3 Q 7 L C Z x d W 9 0 O 1 N l Y 3 R p b 2 4 x L 3 g v Q X V 0 b 1 J l b W 9 2 Z W R D b 2 x 1 b W 5 z M S 5 7 b W 9 u d G V Q Y X J f N T B f M j U u d H h 0 L D I 2 f S Z x d W 9 0 O y w m c X V v d D t T Z W N 0 a W 9 u M S 9 4 L 0 F 1 d G 9 S Z W 1 v d m V k Q 2 9 s d W 1 u c z E u e 2 1 v b n R l U G F y X z U w X z I 2 L n R 4 d C w y N 3 0 m c X V v d D s s J n F 1 b 3 Q 7 U 2 V j d G l v b j E v e C 9 B d X R v U m V t b 3 Z l Z E N v b H V t b n M x L n t t b 2 5 0 Z V B h c l 8 1 M F 8 y N y 5 0 e H Q s M j h 9 J n F 1 b 3 Q 7 L C Z x d W 9 0 O 1 N l Y 3 R p b 2 4 x L 3 g v Q X V 0 b 1 J l b W 9 2 Z W R D b 2 x 1 b W 5 z M S 5 7 b W 9 u d G V Q Y X J f N T B f M j g u d H h 0 L D I 5 f S Z x d W 9 0 O y w m c X V v d D t T Z W N 0 a W 9 u M S 9 4 L 0 F 1 d G 9 S Z W 1 v d m V k Q 2 9 s d W 1 u c z E u e 2 1 v b n R l U G F y X z U w X z I 5 L n R 4 d C w z M H 0 m c X V v d D s s J n F 1 b 3 Q 7 U 2 V j d G l v b j E v e C 9 B d X R v U m V t b 3 Z l Z E N v b H V t b n M x L n t t b 2 5 0 Z V B h c l 8 1 M F 8 z M C 5 0 e H Q s M z F 9 J n F 1 b 3 Q 7 X S w m c X V v d D t D b 2 x 1 b W 5 D b 3 V u d C Z x d W 9 0 O z o z M i w m c X V v d D t L Z X l D b 2 x 1 b W 5 O Y W 1 l c y Z x d W 9 0 O z p b X S w m c X V v d D t D b 2 x 1 b W 5 J Z G V u d G l 0 a W V z J n F 1 b 3 Q 7 O l s m c X V v d D t T Z W N 0 a W 9 u M S 9 4 L 0 F 1 d G 9 S Z W 1 v d m V k Q 2 9 s d W 1 u c z E u e 2 1 p b k 1 h e F B h c l 8 1 M F 8 x N S 5 0 e H Q s M H 0 m c X V v d D s s J n F 1 b 3 Q 7 U 2 V j d G l v b j E v e C 9 B d X R v U m V t b 3 Z l Z E N v b H V t b n M x L n t t a W 5 N Y X h Q Y X J f N T B f M T Y u d H h 0 L D F 9 J n F 1 b 3 Q 7 L C Z x d W 9 0 O 1 N l Y 3 R p b 2 4 x L 3 g v Q X V 0 b 1 J l b W 9 2 Z W R D b 2 x 1 b W 5 z M S 5 7 b W l u T W F 4 U G F y X z U w X z E 3 L n R 4 d C w y f S Z x d W 9 0 O y w m c X V v d D t T Z W N 0 a W 9 u M S 9 4 L 0 F 1 d G 9 S Z W 1 v d m V k Q 2 9 s d W 1 u c z E u e 2 1 p b k 1 h e F B h c l 8 1 M F 8 x O C 5 0 e H Q s M 3 0 m c X V v d D s s J n F 1 b 3 Q 7 U 2 V j d G l v b j E v e C 9 B d X R v U m V t b 3 Z l Z E N v b H V t b n M x L n t t a W 5 N Y X h Q Y X J f N T B f M T k u d H h 0 L D R 9 J n F 1 b 3 Q 7 L C Z x d W 9 0 O 1 N l Y 3 R p b 2 4 x L 3 g v Q X V 0 b 1 J l b W 9 2 Z W R D b 2 x 1 b W 5 z M S 5 7 b W l u T W F 4 U G F y X z U w X z I w L n R 4 d C w 1 f S Z x d W 9 0 O y w m c X V v d D t T Z W N 0 a W 9 u M S 9 4 L 0 F 1 d G 9 S Z W 1 v d m V k Q 2 9 s d W 1 u c z E u e 2 1 p b k 1 h e F B h c l 8 1 M F 8 y M S 5 0 e H Q s N n 0 m c X V v d D s s J n F 1 b 3 Q 7 U 2 V j d G l v b j E v e C 9 B d X R v U m V t b 3 Z l Z E N v b H V t b n M x L n t t a W 5 N Y X h Q Y X J f N T B f M j I u d H h 0 L D d 9 J n F 1 b 3 Q 7 L C Z x d W 9 0 O 1 N l Y 3 R p b 2 4 x L 3 g v Q X V 0 b 1 J l b W 9 2 Z W R D b 2 x 1 b W 5 z M S 5 7 b W l u T W F 4 U G F y X z U w X z I z L n R 4 d C w 4 f S Z x d W 9 0 O y w m c X V v d D t T Z W N 0 a W 9 u M S 9 4 L 0 F 1 d G 9 S Z W 1 v d m V k Q 2 9 s d W 1 u c z E u e 2 1 p b k 1 h e F B h c l 8 1 M F 8 y N C 5 0 e H Q s O X 0 m c X V v d D s s J n F 1 b 3 Q 7 U 2 V j d G l v b j E v e C 9 B d X R v U m V t b 3 Z l Z E N v b H V t b n M x L n t t a W 5 N Y X h Q Y X J f N T B f M j U u d H h 0 L D E w f S Z x d W 9 0 O y w m c X V v d D t T Z W N 0 a W 9 u M S 9 4 L 0 F 1 d G 9 S Z W 1 v d m V k Q 2 9 s d W 1 u c z E u e 2 1 p b k 1 h e F B h c l 8 1 M F 8 y N i 5 0 e H Q s M T F 9 J n F 1 b 3 Q 7 L C Z x d W 9 0 O 1 N l Y 3 R p b 2 4 x L 3 g v Q X V 0 b 1 J l b W 9 2 Z W R D b 2 x 1 b W 5 z M S 5 7 b W l u T W F 4 U G F y X z U w X z I 3 L n R 4 d C w x M n 0 m c X V v d D s s J n F 1 b 3 Q 7 U 2 V j d G l v b j E v e C 9 B d X R v U m V t b 3 Z l Z E N v b H V t b n M x L n t t a W 5 N Y X h Q Y X J f N T B f M j g u d H h 0 L D E z f S Z x d W 9 0 O y w m c X V v d D t T Z W N 0 a W 9 u M S 9 4 L 0 F 1 d G 9 S Z W 1 v d m V k Q 2 9 s d W 1 u c z E u e 2 1 p b k 1 h e F B h c l 8 1 M F 8 y O S 5 0 e H Q s M T R 9 J n F 1 b 3 Q 7 L C Z x d W 9 0 O 1 N l Y 3 R p b 2 4 x L 3 g v Q X V 0 b 1 J l b W 9 2 Z W R D b 2 x 1 b W 5 z M S 5 7 b W l u T W F 4 U G F y X z U w X z M w L n R 4 d C w x N X 0 m c X V v d D s s J n F 1 b 3 Q 7 U 2 V j d G l v b j E v e C 9 B d X R v U m V t b 3 Z l Z E N v b H V t b n M x L n t t b 2 5 0 Z V B h c l 8 1 M F 8 x N S 5 0 e H Q s M T Z 9 J n F 1 b 3 Q 7 L C Z x d W 9 0 O 1 N l Y 3 R p b 2 4 x L 3 g v Q X V 0 b 1 J l b W 9 2 Z W R D b 2 x 1 b W 5 z M S 5 7 b W 9 u d G V Q Y X J f N T B f M T Y u d H h 0 L D E 3 f S Z x d W 9 0 O y w m c X V v d D t T Z W N 0 a W 9 u M S 9 4 L 0 F 1 d G 9 S Z W 1 v d m V k Q 2 9 s d W 1 u c z E u e 2 1 v b n R l U G F y X z U w X z E 3 L n R 4 d C w x O H 0 m c X V v d D s s J n F 1 b 3 Q 7 U 2 V j d G l v b j E v e C 9 B d X R v U m V t b 3 Z l Z E N v b H V t b n M x L n t t b 2 5 0 Z V B h c l 8 1 M F 8 x O C 5 0 e H Q s M T l 9 J n F 1 b 3 Q 7 L C Z x d W 9 0 O 1 N l Y 3 R p b 2 4 x L 3 g v Q X V 0 b 1 J l b W 9 2 Z W R D b 2 x 1 b W 5 z M S 5 7 b W 9 u d G V Q Y X J f N T B f M T k u d H h 0 L D I w f S Z x d W 9 0 O y w m c X V v d D t T Z W N 0 a W 9 u M S 9 4 L 0 F 1 d G 9 S Z W 1 v d m V k Q 2 9 s d W 1 u c z E u e 2 1 v b n R l U G F y X z U w X z I w L n R 4 d C w y M X 0 m c X V v d D s s J n F 1 b 3 Q 7 U 2 V j d G l v b j E v e C 9 B d X R v U m V t b 3 Z l Z E N v b H V t b n M x L n t t b 2 5 0 Z V B h c l 8 1 M F 8 y M S 5 0 e H Q s M j J 9 J n F 1 b 3 Q 7 L C Z x d W 9 0 O 1 N l Y 3 R p b 2 4 x L 3 g v Q X V 0 b 1 J l b W 9 2 Z W R D b 2 x 1 b W 5 z M S 5 7 b W 9 u d G V Q Y X J f N T B f M j I u d H h 0 L D I z f S Z x d W 9 0 O y w m c X V v d D t T Z W N 0 a W 9 u M S 9 4 L 0 F 1 d G 9 S Z W 1 v d m V k Q 2 9 s d W 1 u c z E u e 2 1 v b n R l U G F y X z U w X z I z L n R 4 d C w y N H 0 m c X V v d D s s J n F 1 b 3 Q 7 U 2 V j d G l v b j E v e C 9 B d X R v U m V t b 3 Z l Z E N v b H V t b n M x L n t t b 2 5 0 Z V B h c l 8 1 M F 8 y N C 5 0 e H Q s M j V 9 J n F 1 b 3 Q 7 L C Z x d W 9 0 O 1 N l Y 3 R p b 2 4 x L 3 g v Q X V 0 b 1 J l b W 9 2 Z W R D b 2 x 1 b W 5 z M S 5 7 b W 9 u d G V Q Y X J f N T B f M j U u d H h 0 L D I 2 f S Z x d W 9 0 O y w m c X V v d D t T Z W N 0 a W 9 u M S 9 4 L 0 F 1 d G 9 S Z W 1 v d m V k Q 2 9 s d W 1 u c z E u e 2 1 v b n R l U G F y X z U w X z I 2 L n R 4 d C w y N 3 0 m c X V v d D s s J n F 1 b 3 Q 7 U 2 V j d G l v b j E v e C 9 B d X R v U m V t b 3 Z l Z E N v b H V t b n M x L n t t b 2 5 0 Z V B h c l 8 1 M F 8 y N y 5 0 e H Q s M j h 9 J n F 1 b 3 Q 7 L C Z x d W 9 0 O 1 N l Y 3 R p b 2 4 x L 3 g v Q X V 0 b 1 J l b W 9 2 Z W R D b 2 x 1 b W 5 z M S 5 7 b W 9 u d G V Q Y X J f N T B f M j g u d H h 0 L D I 5 f S Z x d W 9 0 O y w m c X V v d D t T Z W N 0 a W 9 u M S 9 4 L 0 F 1 d G 9 S Z W 1 v d m V k Q 2 9 s d W 1 u c z E u e 2 1 v b n R l U G F y X z U w X z I 5 L n R 4 d C w z M H 0 m c X V v d D s s J n F 1 b 3 Q 7 U 2 V j d G l v b j E v e C 9 B d X R v U m V t b 3 Z l Z E N v b H V t b n M x L n t t b 2 5 0 Z V B h c l 8 1 M F 8 z M C 5 0 e H Q s M z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4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g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4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g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4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x L T I 4 V D E 3 O j U x O j E 1 L j k 2 N D k z M j N a I i A v P j x F b n R y e S B U e X B l P S J G a W x s Q 2 9 s d W 1 u V H l w Z X M i I F Z h b H V l P S J z Q l F V R k J R V U Z C U V V G Q l F V R k J R V U Z C U V V G Q l F V R k J R V U Z C U V V G Q l F V R k J R V T 0 i I C 8 + P E V u d H J 5 I F R 5 c G U 9 I k Z p b G x D b 2 x 1 b W 5 O Y W 1 l c y I g V m F s d W U 9 I n N b J n F 1 b 3 Q 7 b W l u T W F 4 U G F y X z U w X z E 1 L n R 4 d C Z x d W 9 0 O y w m c X V v d D t t a W 5 N Y X h Q Y X J f N T B f M T Y u d H h 0 J n F 1 b 3 Q 7 L C Z x d W 9 0 O 2 1 p b k 1 h e F B h c l 8 1 M F 8 x N y 5 0 e H Q m c X V v d D s s J n F 1 b 3 Q 7 b W l u T W F 4 U G F y X z U w X z E 4 L n R 4 d C Z x d W 9 0 O y w m c X V v d D t t a W 5 N Y X h Q Y X J f N T B f M T k u d H h 0 J n F 1 b 3 Q 7 L C Z x d W 9 0 O 2 1 p b k 1 h e F B h c l 8 1 M F 8 y M C 5 0 e H Q m c X V v d D s s J n F 1 b 3 Q 7 b W l u T W F 4 U G F y X z U w X z I x L n R 4 d C Z x d W 9 0 O y w m c X V v d D t t a W 5 N Y X h Q Y X J f N T B f M j I u d H h 0 J n F 1 b 3 Q 7 L C Z x d W 9 0 O 2 1 p b k 1 h e F B h c l 8 1 M F 8 y M y 5 0 e H Q m c X V v d D s s J n F 1 b 3 Q 7 b W l u T W F 4 U G F y X z U w X z I 0 L n R 4 d C Z x d W 9 0 O y w m c X V v d D t t a W 5 N Y X h Q Y X J f N T B f M j U u d H h 0 J n F 1 b 3 Q 7 L C Z x d W 9 0 O 2 1 p b k 1 h e F B h c l 8 1 M F 8 y N i 5 0 e H Q m c X V v d D s s J n F 1 b 3 Q 7 b W l u T W F 4 U G F y X z U w X z I 3 L n R 4 d C Z x d W 9 0 O y w m c X V v d D t t a W 5 N Y X h Q Y X J f N T B f M j g u d H h 0 J n F 1 b 3 Q 7 L C Z x d W 9 0 O 2 1 p b k 1 h e F B h c l 8 1 M F 8 y O S 5 0 e H Q m c X V v d D s s J n F 1 b 3 Q 7 b W l u T W F 4 U G F y X z U w X z M w L n R 4 d C Z x d W 9 0 O y w m c X V v d D t t b 2 5 0 Z V B h c l 8 1 M F 8 x N S 5 0 e H Q m c X V v d D s s J n F 1 b 3 Q 7 b W 9 u d G V Q Y X J f N T B f M T Y u d H h 0 J n F 1 b 3 Q 7 L C Z x d W 9 0 O 2 1 v b n R l U G F y X z U w X z E 3 L n R 4 d C Z x d W 9 0 O y w m c X V v d D t t b 2 5 0 Z V B h c l 8 1 M F 8 x O C 5 0 e H Q m c X V v d D s s J n F 1 b 3 Q 7 b W 9 u d G V Q Y X J f N T B f M T k u d H h 0 J n F 1 b 3 Q 7 L C Z x d W 9 0 O 2 1 v b n R l U G F y X z U w X z I w L n R 4 d C Z x d W 9 0 O y w m c X V v d D t t b 2 5 0 Z V B h c l 8 1 M F 8 y M S 5 0 e H Q m c X V v d D s s J n F 1 b 3 Q 7 b W 9 u d G V Q Y X J f N T B f M j I u d H h 0 J n F 1 b 3 Q 7 L C Z x d W 9 0 O 2 1 v b n R l U G F y X z U w X z I z L n R 4 d C Z x d W 9 0 O y w m c X V v d D t t b 2 5 0 Z V B h c l 8 1 M F 8 y N C 5 0 e H Q m c X V v d D s s J n F 1 b 3 Q 7 b W 9 u d G V Q Y X J f N T B f M j U u d H h 0 J n F 1 b 3 Q 7 L C Z x d W 9 0 O 2 1 v b n R l U G F y X z U w X z I 2 L n R 4 d C Z x d W 9 0 O y w m c X V v d D t t b 2 5 0 Z V B h c l 8 1 M F 8 y N y 5 0 e H Q m c X V v d D s s J n F 1 b 3 Q 7 b W 9 u d G V Q Y X J f N T B f M j g u d H h 0 J n F 1 b 3 Q 7 L C Z x d W 9 0 O 2 1 v b n R l U G F y X z U w X z I 5 L n R 4 d C Z x d W 9 0 O y w m c X V v d D t t b 2 5 0 Z V B h c l 8 1 M F 8 z M C 5 0 e H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C A o M i k v Q X V 0 b 1 J l b W 9 2 Z W R D b 2 x 1 b W 5 z M S 5 7 b W l u T W F 4 U G F y X z U w X z E 1 L n R 4 d C w w f S Z x d W 9 0 O y w m c X V v d D t T Z W N 0 a W 9 u M S 9 4 I C g y K S 9 B d X R v U m V t b 3 Z l Z E N v b H V t b n M x L n t t a W 5 N Y X h Q Y X J f N T B f M T Y u d H h 0 L D F 9 J n F 1 b 3 Q 7 L C Z x d W 9 0 O 1 N l Y 3 R p b 2 4 x L 3 g g K D I p L 0 F 1 d G 9 S Z W 1 v d m V k Q 2 9 s d W 1 u c z E u e 2 1 p b k 1 h e F B h c l 8 1 M F 8 x N y 5 0 e H Q s M n 0 m c X V v d D s s J n F 1 b 3 Q 7 U 2 V j d G l v b j E v e C A o M i k v Q X V 0 b 1 J l b W 9 2 Z W R D b 2 x 1 b W 5 z M S 5 7 b W l u T W F 4 U G F y X z U w X z E 4 L n R 4 d C w z f S Z x d W 9 0 O y w m c X V v d D t T Z W N 0 a W 9 u M S 9 4 I C g y K S 9 B d X R v U m V t b 3 Z l Z E N v b H V t b n M x L n t t a W 5 N Y X h Q Y X J f N T B f M T k u d H h 0 L D R 9 J n F 1 b 3 Q 7 L C Z x d W 9 0 O 1 N l Y 3 R p b 2 4 x L 3 g g K D I p L 0 F 1 d G 9 S Z W 1 v d m V k Q 2 9 s d W 1 u c z E u e 2 1 p b k 1 h e F B h c l 8 1 M F 8 y M C 5 0 e H Q s N X 0 m c X V v d D s s J n F 1 b 3 Q 7 U 2 V j d G l v b j E v e C A o M i k v Q X V 0 b 1 J l b W 9 2 Z W R D b 2 x 1 b W 5 z M S 5 7 b W l u T W F 4 U G F y X z U w X z I x L n R 4 d C w 2 f S Z x d W 9 0 O y w m c X V v d D t T Z W N 0 a W 9 u M S 9 4 I C g y K S 9 B d X R v U m V t b 3 Z l Z E N v b H V t b n M x L n t t a W 5 N Y X h Q Y X J f N T B f M j I u d H h 0 L D d 9 J n F 1 b 3 Q 7 L C Z x d W 9 0 O 1 N l Y 3 R p b 2 4 x L 3 g g K D I p L 0 F 1 d G 9 S Z W 1 v d m V k Q 2 9 s d W 1 u c z E u e 2 1 p b k 1 h e F B h c l 8 1 M F 8 y M y 5 0 e H Q s O H 0 m c X V v d D s s J n F 1 b 3 Q 7 U 2 V j d G l v b j E v e C A o M i k v Q X V 0 b 1 J l b W 9 2 Z W R D b 2 x 1 b W 5 z M S 5 7 b W l u T W F 4 U G F y X z U w X z I 0 L n R 4 d C w 5 f S Z x d W 9 0 O y w m c X V v d D t T Z W N 0 a W 9 u M S 9 4 I C g y K S 9 B d X R v U m V t b 3 Z l Z E N v b H V t b n M x L n t t a W 5 N Y X h Q Y X J f N T B f M j U u d H h 0 L D E w f S Z x d W 9 0 O y w m c X V v d D t T Z W N 0 a W 9 u M S 9 4 I C g y K S 9 B d X R v U m V t b 3 Z l Z E N v b H V t b n M x L n t t a W 5 N Y X h Q Y X J f N T B f M j Y u d H h 0 L D E x f S Z x d W 9 0 O y w m c X V v d D t T Z W N 0 a W 9 u M S 9 4 I C g y K S 9 B d X R v U m V t b 3 Z l Z E N v b H V t b n M x L n t t a W 5 N Y X h Q Y X J f N T B f M j c u d H h 0 L D E y f S Z x d W 9 0 O y w m c X V v d D t T Z W N 0 a W 9 u M S 9 4 I C g y K S 9 B d X R v U m V t b 3 Z l Z E N v b H V t b n M x L n t t a W 5 N Y X h Q Y X J f N T B f M j g u d H h 0 L D E z f S Z x d W 9 0 O y w m c X V v d D t T Z W N 0 a W 9 u M S 9 4 I C g y K S 9 B d X R v U m V t b 3 Z l Z E N v b H V t b n M x L n t t a W 5 N Y X h Q Y X J f N T B f M j k u d H h 0 L D E 0 f S Z x d W 9 0 O y w m c X V v d D t T Z W N 0 a W 9 u M S 9 4 I C g y K S 9 B d X R v U m V t b 3 Z l Z E N v b H V t b n M x L n t t a W 5 N Y X h Q Y X J f N T B f M z A u d H h 0 L D E 1 f S Z x d W 9 0 O y w m c X V v d D t T Z W N 0 a W 9 u M S 9 4 I C g y K S 9 B d X R v U m V t b 3 Z l Z E N v b H V t b n M x L n t t b 2 5 0 Z V B h c l 8 1 M F 8 x N S 5 0 e H Q s M T Z 9 J n F 1 b 3 Q 7 L C Z x d W 9 0 O 1 N l Y 3 R p b 2 4 x L 3 g g K D I p L 0 F 1 d G 9 S Z W 1 v d m V k Q 2 9 s d W 1 u c z E u e 2 1 v b n R l U G F y X z U w X z E 2 L n R 4 d C w x N 3 0 m c X V v d D s s J n F 1 b 3 Q 7 U 2 V j d G l v b j E v e C A o M i k v Q X V 0 b 1 J l b W 9 2 Z W R D b 2 x 1 b W 5 z M S 5 7 b W 9 u d G V Q Y X J f N T B f M T c u d H h 0 L D E 4 f S Z x d W 9 0 O y w m c X V v d D t T Z W N 0 a W 9 u M S 9 4 I C g y K S 9 B d X R v U m V t b 3 Z l Z E N v b H V t b n M x L n t t b 2 5 0 Z V B h c l 8 1 M F 8 x O C 5 0 e H Q s M T l 9 J n F 1 b 3 Q 7 L C Z x d W 9 0 O 1 N l Y 3 R p b 2 4 x L 3 g g K D I p L 0 F 1 d G 9 S Z W 1 v d m V k Q 2 9 s d W 1 u c z E u e 2 1 v b n R l U G F y X z U w X z E 5 L n R 4 d C w y M H 0 m c X V v d D s s J n F 1 b 3 Q 7 U 2 V j d G l v b j E v e C A o M i k v Q X V 0 b 1 J l b W 9 2 Z W R D b 2 x 1 b W 5 z M S 5 7 b W 9 u d G V Q Y X J f N T B f M j A u d H h 0 L D I x f S Z x d W 9 0 O y w m c X V v d D t T Z W N 0 a W 9 u M S 9 4 I C g y K S 9 B d X R v U m V t b 3 Z l Z E N v b H V t b n M x L n t t b 2 5 0 Z V B h c l 8 1 M F 8 y M S 5 0 e H Q s M j J 9 J n F 1 b 3 Q 7 L C Z x d W 9 0 O 1 N l Y 3 R p b 2 4 x L 3 g g K D I p L 0 F 1 d G 9 S Z W 1 v d m V k Q 2 9 s d W 1 u c z E u e 2 1 v b n R l U G F y X z U w X z I y L n R 4 d C w y M 3 0 m c X V v d D s s J n F 1 b 3 Q 7 U 2 V j d G l v b j E v e C A o M i k v Q X V 0 b 1 J l b W 9 2 Z W R D b 2 x 1 b W 5 z M S 5 7 b W 9 u d G V Q Y X J f N T B f M j M u d H h 0 L D I 0 f S Z x d W 9 0 O y w m c X V v d D t T Z W N 0 a W 9 u M S 9 4 I C g y K S 9 B d X R v U m V t b 3 Z l Z E N v b H V t b n M x L n t t b 2 5 0 Z V B h c l 8 1 M F 8 y N C 5 0 e H Q s M j V 9 J n F 1 b 3 Q 7 L C Z x d W 9 0 O 1 N l Y 3 R p b 2 4 x L 3 g g K D I p L 0 F 1 d G 9 S Z W 1 v d m V k Q 2 9 s d W 1 u c z E u e 2 1 v b n R l U G F y X z U w X z I 1 L n R 4 d C w y N n 0 m c X V v d D s s J n F 1 b 3 Q 7 U 2 V j d G l v b j E v e C A o M i k v Q X V 0 b 1 J l b W 9 2 Z W R D b 2 x 1 b W 5 z M S 5 7 b W 9 u d G V Q Y X J f N T B f M j Y u d H h 0 L D I 3 f S Z x d W 9 0 O y w m c X V v d D t T Z W N 0 a W 9 u M S 9 4 I C g y K S 9 B d X R v U m V t b 3 Z l Z E N v b H V t b n M x L n t t b 2 5 0 Z V B h c l 8 1 M F 8 y N y 5 0 e H Q s M j h 9 J n F 1 b 3 Q 7 L C Z x d W 9 0 O 1 N l Y 3 R p b 2 4 x L 3 g g K D I p L 0 F 1 d G 9 S Z W 1 v d m V k Q 2 9 s d W 1 u c z E u e 2 1 v b n R l U G F y X z U w X z I 4 L n R 4 d C w y O X 0 m c X V v d D s s J n F 1 b 3 Q 7 U 2 V j d G l v b j E v e C A o M i k v Q X V 0 b 1 J l b W 9 2 Z W R D b 2 x 1 b W 5 z M S 5 7 b W 9 u d G V Q Y X J f N T B f M j k u d H h 0 L D M w f S Z x d W 9 0 O y w m c X V v d D t T Z W N 0 a W 9 u M S 9 4 I C g y K S 9 B d X R v U m V t b 3 Z l Z E N v b H V t b n M x L n t t b 2 5 0 Z V B h c l 8 1 M F 8 z M C 5 0 e H Q s M z F 9 J n F 1 b 3 Q 7 X S w m c X V v d D t D b 2 x 1 b W 5 D b 3 V u d C Z x d W 9 0 O z o z M i w m c X V v d D t L Z X l D b 2 x 1 b W 5 O Y W 1 l c y Z x d W 9 0 O z p b X S w m c X V v d D t D b 2 x 1 b W 5 J Z G V u d G l 0 a W V z J n F 1 b 3 Q 7 O l s m c X V v d D t T Z W N 0 a W 9 u M S 9 4 I C g y K S 9 B d X R v U m V t b 3 Z l Z E N v b H V t b n M x L n t t a W 5 N Y X h Q Y X J f N T B f M T U u d H h 0 L D B 9 J n F 1 b 3 Q 7 L C Z x d W 9 0 O 1 N l Y 3 R p b 2 4 x L 3 g g K D I p L 0 F 1 d G 9 S Z W 1 v d m V k Q 2 9 s d W 1 u c z E u e 2 1 p b k 1 h e F B h c l 8 1 M F 8 x N i 5 0 e H Q s M X 0 m c X V v d D s s J n F 1 b 3 Q 7 U 2 V j d G l v b j E v e C A o M i k v Q X V 0 b 1 J l b W 9 2 Z W R D b 2 x 1 b W 5 z M S 5 7 b W l u T W F 4 U G F y X z U w X z E 3 L n R 4 d C w y f S Z x d W 9 0 O y w m c X V v d D t T Z W N 0 a W 9 u M S 9 4 I C g y K S 9 B d X R v U m V t b 3 Z l Z E N v b H V t b n M x L n t t a W 5 N Y X h Q Y X J f N T B f M T g u d H h 0 L D N 9 J n F 1 b 3 Q 7 L C Z x d W 9 0 O 1 N l Y 3 R p b 2 4 x L 3 g g K D I p L 0 F 1 d G 9 S Z W 1 v d m V k Q 2 9 s d W 1 u c z E u e 2 1 p b k 1 h e F B h c l 8 1 M F 8 x O S 5 0 e H Q s N H 0 m c X V v d D s s J n F 1 b 3 Q 7 U 2 V j d G l v b j E v e C A o M i k v Q X V 0 b 1 J l b W 9 2 Z W R D b 2 x 1 b W 5 z M S 5 7 b W l u T W F 4 U G F y X z U w X z I w L n R 4 d C w 1 f S Z x d W 9 0 O y w m c X V v d D t T Z W N 0 a W 9 u M S 9 4 I C g y K S 9 B d X R v U m V t b 3 Z l Z E N v b H V t b n M x L n t t a W 5 N Y X h Q Y X J f N T B f M j E u d H h 0 L D Z 9 J n F 1 b 3 Q 7 L C Z x d W 9 0 O 1 N l Y 3 R p b 2 4 x L 3 g g K D I p L 0 F 1 d G 9 S Z W 1 v d m V k Q 2 9 s d W 1 u c z E u e 2 1 p b k 1 h e F B h c l 8 1 M F 8 y M i 5 0 e H Q s N 3 0 m c X V v d D s s J n F 1 b 3 Q 7 U 2 V j d G l v b j E v e C A o M i k v Q X V 0 b 1 J l b W 9 2 Z W R D b 2 x 1 b W 5 z M S 5 7 b W l u T W F 4 U G F y X z U w X z I z L n R 4 d C w 4 f S Z x d W 9 0 O y w m c X V v d D t T Z W N 0 a W 9 u M S 9 4 I C g y K S 9 B d X R v U m V t b 3 Z l Z E N v b H V t b n M x L n t t a W 5 N Y X h Q Y X J f N T B f M j Q u d H h 0 L D l 9 J n F 1 b 3 Q 7 L C Z x d W 9 0 O 1 N l Y 3 R p b 2 4 x L 3 g g K D I p L 0 F 1 d G 9 S Z W 1 v d m V k Q 2 9 s d W 1 u c z E u e 2 1 p b k 1 h e F B h c l 8 1 M F 8 y N S 5 0 e H Q s M T B 9 J n F 1 b 3 Q 7 L C Z x d W 9 0 O 1 N l Y 3 R p b 2 4 x L 3 g g K D I p L 0 F 1 d G 9 S Z W 1 v d m V k Q 2 9 s d W 1 u c z E u e 2 1 p b k 1 h e F B h c l 8 1 M F 8 y N i 5 0 e H Q s M T F 9 J n F 1 b 3 Q 7 L C Z x d W 9 0 O 1 N l Y 3 R p b 2 4 x L 3 g g K D I p L 0 F 1 d G 9 S Z W 1 v d m V k Q 2 9 s d W 1 u c z E u e 2 1 p b k 1 h e F B h c l 8 1 M F 8 y N y 5 0 e H Q s M T J 9 J n F 1 b 3 Q 7 L C Z x d W 9 0 O 1 N l Y 3 R p b 2 4 x L 3 g g K D I p L 0 F 1 d G 9 S Z W 1 v d m V k Q 2 9 s d W 1 u c z E u e 2 1 p b k 1 h e F B h c l 8 1 M F 8 y O C 5 0 e H Q s M T N 9 J n F 1 b 3 Q 7 L C Z x d W 9 0 O 1 N l Y 3 R p b 2 4 x L 3 g g K D I p L 0 F 1 d G 9 S Z W 1 v d m V k Q 2 9 s d W 1 u c z E u e 2 1 p b k 1 h e F B h c l 8 1 M F 8 y O S 5 0 e H Q s M T R 9 J n F 1 b 3 Q 7 L C Z x d W 9 0 O 1 N l Y 3 R p b 2 4 x L 3 g g K D I p L 0 F 1 d G 9 S Z W 1 v d m V k Q 2 9 s d W 1 u c z E u e 2 1 p b k 1 h e F B h c l 8 1 M F 8 z M C 5 0 e H Q s M T V 9 J n F 1 b 3 Q 7 L C Z x d W 9 0 O 1 N l Y 3 R p b 2 4 x L 3 g g K D I p L 0 F 1 d G 9 S Z W 1 v d m V k Q 2 9 s d W 1 u c z E u e 2 1 v b n R l U G F y X z U w X z E 1 L n R 4 d C w x N n 0 m c X V v d D s s J n F 1 b 3 Q 7 U 2 V j d G l v b j E v e C A o M i k v Q X V 0 b 1 J l b W 9 2 Z W R D b 2 x 1 b W 5 z M S 5 7 b W 9 u d G V Q Y X J f N T B f M T Y u d H h 0 L D E 3 f S Z x d W 9 0 O y w m c X V v d D t T Z W N 0 a W 9 u M S 9 4 I C g y K S 9 B d X R v U m V t b 3 Z l Z E N v b H V t b n M x L n t t b 2 5 0 Z V B h c l 8 1 M F 8 x N y 5 0 e H Q s M T h 9 J n F 1 b 3 Q 7 L C Z x d W 9 0 O 1 N l Y 3 R p b 2 4 x L 3 g g K D I p L 0 F 1 d G 9 S Z W 1 v d m V k Q 2 9 s d W 1 u c z E u e 2 1 v b n R l U G F y X z U w X z E 4 L n R 4 d C w x O X 0 m c X V v d D s s J n F 1 b 3 Q 7 U 2 V j d G l v b j E v e C A o M i k v Q X V 0 b 1 J l b W 9 2 Z W R D b 2 x 1 b W 5 z M S 5 7 b W 9 u d G V Q Y X J f N T B f M T k u d H h 0 L D I w f S Z x d W 9 0 O y w m c X V v d D t T Z W N 0 a W 9 u M S 9 4 I C g y K S 9 B d X R v U m V t b 3 Z l Z E N v b H V t b n M x L n t t b 2 5 0 Z V B h c l 8 1 M F 8 y M C 5 0 e H Q s M j F 9 J n F 1 b 3 Q 7 L C Z x d W 9 0 O 1 N l Y 3 R p b 2 4 x L 3 g g K D I p L 0 F 1 d G 9 S Z W 1 v d m V k Q 2 9 s d W 1 u c z E u e 2 1 v b n R l U G F y X z U w X z I x L n R 4 d C w y M n 0 m c X V v d D s s J n F 1 b 3 Q 7 U 2 V j d G l v b j E v e C A o M i k v Q X V 0 b 1 J l b W 9 2 Z W R D b 2 x 1 b W 5 z M S 5 7 b W 9 u d G V Q Y X J f N T B f M j I u d H h 0 L D I z f S Z x d W 9 0 O y w m c X V v d D t T Z W N 0 a W 9 u M S 9 4 I C g y K S 9 B d X R v U m V t b 3 Z l Z E N v b H V t b n M x L n t t b 2 5 0 Z V B h c l 8 1 M F 8 y M y 5 0 e H Q s M j R 9 J n F 1 b 3 Q 7 L C Z x d W 9 0 O 1 N l Y 3 R p b 2 4 x L 3 g g K D I p L 0 F 1 d G 9 S Z W 1 v d m V k Q 2 9 s d W 1 u c z E u e 2 1 v b n R l U G F y X z U w X z I 0 L n R 4 d C w y N X 0 m c X V v d D s s J n F 1 b 3 Q 7 U 2 V j d G l v b j E v e C A o M i k v Q X V 0 b 1 J l b W 9 2 Z W R D b 2 x 1 b W 5 z M S 5 7 b W 9 u d G V Q Y X J f N T B f M j U u d H h 0 L D I 2 f S Z x d W 9 0 O y w m c X V v d D t T Z W N 0 a W 9 u M S 9 4 I C g y K S 9 B d X R v U m V t b 3 Z l Z E N v b H V t b n M x L n t t b 2 5 0 Z V B h c l 8 1 M F 8 y N i 5 0 e H Q s M j d 9 J n F 1 b 3 Q 7 L C Z x d W 9 0 O 1 N l Y 3 R p b 2 4 x L 3 g g K D I p L 0 F 1 d G 9 S Z W 1 v d m V k Q 2 9 s d W 1 u c z E u e 2 1 v b n R l U G F y X z U w X z I 3 L n R 4 d C w y O H 0 m c X V v d D s s J n F 1 b 3 Q 7 U 2 V j d G l v b j E v e C A o M i k v Q X V 0 b 1 J l b W 9 2 Z W R D b 2 x 1 b W 5 z M S 5 7 b W 9 u d G V Q Y X J f N T B f M j g u d H h 0 L D I 5 f S Z x d W 9 0 O y w m c X V v d D t T Z W N 0 a W 9 u M S 9 4 I C g y K S 9 B d X R v U m V t b 3 Z l Z E N v b H V t b n M x L n t t b 2 5 0 Z V B h c l 8 1 M F 8 y O S 5 0 e H Q s M z B 9 J n F 1 b 3 Q 7 L C Z x d W 9 0 O 1 N l Y 3 R p b 2 4 x L 3 g g K D I p L 0 F 1 d G 9 S Z W 1 v d m V k Q 2 9 s d W 1 u c z E u e 2 1 v b n R l U G F y X z U w X z M w L n R 4 d C w z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g l M j A o M i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C U y M C g y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g l M j A o M i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C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h f X z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E t M j h U M T c 6 N T E 6 N T Q u N T U 4 M D U 1 M l o i I C 8 + P E V u d H J 5 I F R 5 c G U 9 I k Z p b G x D b 2 x 1 b W 5 U e X B l c y I g V m F s d W U 9 I n N C U V V G Q l F V R k J R V U Z C U V V G Q l F V R k J R V U Z C U V V G Q l F V R k J R V U Z C U V V G Q l F V P S I g L z 4 8 R W 5 0 c n k g V H l w Z T 0 i R m l s b E N v b H V t b k 5 h b W V z I i B W Y W x 1 Z T 0 i c 1 s m c X V v d D t t a W 5 N Y X h Q Y X J f N T B f M T U u d H h 0 J n F 1 b 3 Q 7 L C Z x d W 9 0 O 2 1 p b k 1 h e F B h c l 8 1 M F 8 x N i 5 0 e H Q m c X V v d D s s J n F 1 b 3 Q 7 b W l u T W F 4 U G F y X z U w X z E 3 L n R 4 d C Z x d W 9 0 O y w m c X V v d D t t a W 5 N Y X h Q Y X J f N T B f M T g u d H h 0 J n F 1 b 3 Q 7 L C Z x d W 9 0 O 2 1 p b k 1 h e F B h c l 8 1 M F 8 x O S 5 0 e H Q m c X V v d D s s J n F 1 b 3 Q 7 b W l u T W F 4 U G F y X z U w X z I w L n R 4 d C Z x d W 9 0 O y w m c X V v d D t t a W 5 N Y X h Q Y X J f N T B f M j E u d H h 0 J n F 1 b 3 Q 7 L C Z x d W 9 0 O 2 1 p b k 1 h e F B h c l 8 1 M F 8 y M i 5 0 e H Q m c X V v d D s s J n F 1 b 3 Q 7 b W l u T W F 4 U G F y X z U w X z I z L n R 4 d C Z x d W 9 0 O y w m c X V v d D t t a W 5 N Y X h Q Y X J f N T B f M j Q u d H h 0 J n F 1 b 3 Q 7 L C Z x d W 9 0 O 2 1 p b k 1 h e F B h c l 8 1 M F 8 y N S 5 0 e H Q m c X V v d D s s J n F 1 b 3 Q 7 b W l u T W F 4 U G F y X z U w X z I 2 L n R 4 d C Z x d W 9 0 O y w m c X V v d D t t a W 5 N Y X h Q Y X J f N T B f M j c u d H h 0 J n F 1 b 3 Q 7 L C Z x d W 9 0 O 2 1 p b k 1 h e F B h c l 8 1 M F 8 y O C 5 0 e H Q m c X V v d D s s J n F 1 b 3 Q 7 b W l u T W F 4 U G F y X z U w X z I 5 L n R 4 d C Z x d W 9 0 O y w m c X V v d D t t a W 5 N Y X h Q Y X J f N T B f M z A u d H h 0 J n F 1 b 3 Q 7 L C Z x d W 9 0 O 2 1 v b n R l U G F y X z U w X z E 1 L n R 4 d C Z x d W 9 0 O y w m c X V v d D t t b 2 5 0 Z V B h c l 8 1 M F 8 x N i 5 0 e H Q m c X V v d D s s J n F 1 b 3 Q 7 b W 9 u d G V Q Y X J f N T B f M T c u d H h 0 J n F 1 b 3 Q 7 L C Z x d W 9 0 O 2 1 v b n R l U G F y X z U w X z E 4 L n R 4 d C Z x d W 9 0 O y w m c X V v d D t t b 2 5 0 Z V B h c l 8 1 M F 8 x O S 5 0 e H Q m c X V v d D s s J n F 1 b 3 Q 7 b W 9 u d G V Q Y X J f N T B f M j A u d H h 0 J n F 1 b 3 Q 7 L C Z x d W 9 0 O 2 1 v b n R l U G F y X z U w X z I x L n R 4 d C Z x d W 9 0 O y w m c X V v d D t t b 2 5 0 Z V B h c l 8 1 M F 8 y M i 5 0 e H Q m c X V v d D s s J n F 1 b 3 Q 7 b W 9 u d G V Q Y X J f N T B f M j M u d H h 0 J n F 1 b 3 Q 7 L C Z x d W 9 0 O 2 1 v b n R l U G F y X z U w X z I 0 L n R 4 d C Z x d W 9 0 O y w m c X V v d D t t b 2 5 0 Z V B h c l 8 1 M F 8 y N S 5 0 e H Q m c X V v d D s s J n F 1 b 3 Q 7 b W 9 u d G V Q Y X J f N T B f M j Y u d H h 0 J n F 1 b 3 Q 7 L C Z x d W 9 0 O 2 1 v b n R l U G F y X z U w X z I 3 L n R 4 d C Z x d W 9 0 O y w m c X V v d D t t b 2 5 0 Z V B h c l 8 1 M F 8 y O C 5 0 e H Q m c X V v d D s s J n F 1 b 3 Q 7 b W 9 u d G V Q Y X J f N T B f M j k u d H h 0 J n F 1 b 3 Q 7 L C Z x d W 9 0 O 2 1 v b n R l U G F y X z U w X z M w L n R 4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4 I C g z K S 9 B d X R v U m V t b 3 Z l Z E N v b H V t b n M x L n t t a W 5 N Y X h Q Y X J f N T B f M T U u d H h 0 L D B 9 J n F 1 b 3 Q 7 L C Z x d W 9 0 O 1 N l Y 3 R p b 2 4 x L 3 g g K D M p L 0 F 1 d G 9 S Z W 1 v d m V k Q 2 9 s d W 1 u c z E u e 2 1 p b k 1 h e F B h c l 8 1 M F 8 x N i 5 0 e H Q s M X 0 m c X V v d D s s J n F 1 b 3 Q 7 U 2 V j d G l v b j E v e C A o M y k v Q X V 0 b 1 J l b W 9 2 Z W R D b 2 x 1 b W 5 z M S 5 7 b W l u T W F 4 U G F y X z U w X z E 3 L n R 4 d C w y f S Z x d W 9 0 O y w m c X V v d D t T Z W N 0 a W 9 u M S 9 4 I C g z K S 9 B d X R v U m V t b 3 Z l Z E N v b H V t b n M x L n t t a W 5 N Y X h Q Y X J f N T B f M T g u d H h 0 L D N 9 J n F 1 b 3 Q 7 L C Z x d W 9 0 O 1 N l Y 3 R p b 2 4 x L 3 g g K D M p L 0 F 1 d G 9 S Z W 1 v d m V k Q 2 9 s d W 1 u c z E u e 2 1 p b k 1 h e F B h c l 8 1 M F 8 x O S 5 0 e H Q s N H 0 m c X V v d D s s J n F 1 b 3 Q 7 U 2 V j d G l v b j E v e C A o M y k v Q X V 0 b 1 J l b W 9 2 Z W R D b 2 x 1 b W 5 z M S 5 7 b W l u T W F 4 U G F y X z U w X z I w L n R 4 d C w 1 f S Z x d W 9 0 O y w m c X V v d D t T Z W N 0 a W 9 u M S 9 4 I C g z K S 9 B d X R v U m V t b 3 Z l Z E N v b H V t b n M x L n t t a W 5 N Y X h Q Y X J f N T B f M j E u d H h 0 L D Z 9 J n F 1 b 3 Q 7 L C Z x d W 9 0 O 1 N l Y 3 R p b 2 4 x L 3 g g K D M p L 0 F 1 d G 9 S Z W 1 v d m V k Q 2 9 s d W 1 u c z E u e 2 1 p b k 1 h e F B h c l 8 1 M F 8 y M i 5 0 e H Q s N 3 0 m c X V v d D s s J n F 1 b 3 Q 7 U 2 V j d G l v b j E v e C A o M y k v Q X V 0 b 1 J l b W 9 2 Z W R D b 2 x 1 b W 5 z M S 5 7 b W l u T W F 4 U G F y X z U w X z I z L n R 4 d C w 4 f S Z x d W 9 0 O y w m c X V v d D t T Z W N 0 a W 9 u M S 9 4 I C g z K S 9 B d X R v U m V t b 3 Z l Z E N v b H V t b n M x L n t t a W 5 N Y X h Q Y X J f N T B f M j Q u d H h 0 L D l 9 J n F 1 b 3 Q 7 L C Z x d W 9 0 O 1 N l Y 3 R p b 2 4 x L 3 g g K D M p L 0 F 1 d G 9 S Z W 1 v d m V k Q 2 9 s d W 1 u c z E u e 2 1 p b k 1 h e F B h c l 8 1 M F 8 y N S 5 0 e H Q s M T B 9 J n F 1 b 3 Q 7 L C Z x d W 9 0 O 1 N l Y 3 R p b 2 4 x L 3 g g K D M p L 0 F 1 d G 9 S Z W 1 v d m V k Q 2 9 s d W 1 u c z E u e 2 1 p b k 1 h e F B h c l 8 1 M F 8 y N i 5 0 e H Q s M T F 9 J n F 1 b 3 Q 7 L C Z x d W 9 0 O 1 N l Y 3 R p b 2 4 x L 3 g g K D M p L 0 F 1 d G 9 S Z W 1 v d m V k Q 2 9 s d W 1 u c z E u e 2 1 p b k 1 h e F B h c l 8 1 M F 8 y N y 5 0 e H Q s M T J 9 J n F 1 b 3 Q 7 L C Z x d W 9 0 O 1 N l Y 3 R p b 2 4 x L 3 g g K D M p L 0 F 1 d G 9 S Z W 1 v d m V k Q 2 9 s d W 1 u c z E u e 2 1 p b k 1 h e F B h c l 8 1 M F 8 y O C 5 0 e H Q s M T N 9 J n F 1 b 3 Q 7 L C Z x d W 9 0 O 1 N l Y 3 R p b 2 4 x L 3 g g K D M p L 0 F 1 d G 9 S Z W 1 v d m V k Q 2 9 s d W 1 u c z E u e 2 1 p b k 1 h e F B h c l 8 1 M F 8 y O S 5 0 e H Q s M T R 9 J n F 1 b 3 Q 7 L C Z x d W 9 0 O 1 N l Y 3 R p b 2 4 x L 3 g g K D M p L 0 F 1 d G 9 S Z W 1 v d m V k Q 2 9 s d W 1 u c z E u e 2 1 p b k 1 h e F B h c l 8 1 M F 8 z M C 5 0 e H Q s M T V 9 J n F 1 b 3 Q 7 L C Z x d W 9 0 O 1 N l Y 3 R p b 2 4 x L 3 g g K D M p L 0 F 1 d G 9 S Z W 1 v d m V k Q 2 9 s d W 1 u c z E u e 2 1 v b n R l U G F y X z U w X z E 1 L n R 4 d C w x N n 0 m c X V v d D s s J n F 1 b 3 Q 7 U 2 V j d G l v b j E v e C A o M y k v Q X V 0 b 1 J l b W 9 2 Z W R D b 2 x 1 b W 5 z M S 5 7 b W 9 u d G V Q Y X J f N T B f M T Y u d H h 0 L D E 3 f S Z x d W 9 0 O y w m c X V v d D t T Z W N 0 a W 9 u M S 9 4 I C g z K S 9 B d X R v U m V t b 3 Z l Z E N v b H V t b n M x L n t t b 2 5 0 Z V B h c l 8 1 M F 8 x N y 5 0 e H Q s M T h 9 J n F 1 b 3 Q 7 L C Z x d W 9 0 O 1 N l Y 3 R p b 2 4 x L 3 g g K D M p L 0 F 1 d G 9 S Z W 1 v d m V k Q 2 9 s d W 1 u c z E u e 2 1 v b n R l U G F y X z U w X z E 4 L n R 4 d C w x O X 0 m c X V v d D s s J n F 1 b 3 Q 7 U 2 V j d G l v b j E v e C A o M y k v Q X V 0 b 1 J l b W 9 2 Z W R D b 2 x 1 b W 5 z M S 5 7 b W 9 u d G V Q Y X J f N T B f M T k u d H h 0 L D I w f S Z x d W 9 0 O y w m c X V v d D t T Z W N 0 a W 9 u M S 9 4 I C g z K S 9 B d X R v U m V t b 3 Z l Z E N v b H V t b n M x L n t t b 2 5 0 Z V B h c l 8 1 M F 8 y M C 5 0 e H Q s M j F 9 J n F 1 b 3 Q 7 L C Z x d W 9 0 O 1 N l Y 3 R p b 2 4 x L 3 g g K D M p L 0 F 1 d G 9 S Z W 1 v d m V k Q 2 9 s d W 1 u c z E u e 2 1 v b n R l U G F y X z U w X z I x L n R 4 d C w y M n 0 m c X V v d D s s J n F 1 b 3 Q 7 U 2 V j d G l v b j E v e C A o M y k v Q X V 0 b 1 J l b W 9 2 Z W R D b 2 x 1 b W 5 z M S 5 7 b W 9 u d G V Q Y X J f N T B f M j I u d H h 0 L D I z f S Z x d W 9 0 O y w m c X V v d D t T Z W N 0 a W 9 u M S 9 4 I C g z K S 9 B d X R v U m V t b 3 Z l Z E N v b H V t b n M x L n t t b 2 5 0 Z V B h c l 8 1 M F 8 y M y 5 0 e H Q s M j R 9 J n F 1 b 3 Q 7 L C Z x d W 9 0 O 1 N l Y 3 R p b 2 4 x L 3 g g K D M p L 0 F 1 d G 9 S Z W 1 v d m V k Q 2 9 s d W 1 u c z E u e 2 1 v b n R l U G F y X z U w X z I 0 L n R 4 d C w y N X 0 m c X V v d D s s J n F 1 b 3 Q 7 U 2 V j d G l v b j E v e C A o M y k v Q X V 0 b 1 J l b W 9 2 Z W R D b 2 x 1 b W 5 z M S 5 7 b W 9 u d G V Q Y X J f N T B f M j U u d H h 0 L D I 2 f S Z x d W 9 0 O y w m c X V v d D t T Z W N 0 a W 9 u M S 9 4 I C g z K S 9 B d X R v U m V t b 3 Z l Z E N v b H V t b n M x L n t t b 2 5 0 Z V B h c l 8 1 M F 8 y N i 5 0 e H Q s M j d 9 J n F 1 b 3 Q 7 L C Z x d W 9 0 O 1 N l Y 3 R p b 2 4 x L 3 g g K D M p L 0 F 1 d G 9 S Z W 1 v d m V k Q 2 9 s d W 1 u c z E u e 2 1 v b n R l U G F y X z U w X z I 3 L n R 4 d C w y O H 0 m c X V v d D s s J n F 1 b 3 Q 7 U 2 V j d G l v b j E v e C A o M y k v Q X V 0 b 1 J l b W 9 2 Z W R D b 2 x 1 b W 5 z M S 5 7 b W 9 u d G V Q Y X J f N T B f M j g u d H h 0 L D I 5 f S Z x d W 9 0 O y w m c X V v d D t T Z W N 0 a W 9 u M S 9 4 I C g z K S 9 B d X R v U m V t b 3 Z l Z E N v b H V t b n M x L n t t b 2 5 0 Z V B h c l 8 1 M F 8 y O S 5 0 e H Q s M z B 9 J n F 1 b 3 Q 7 L C Z x d W 9 0 O 1 N l Y 3 R p b 2 4 x L 3 g g K D M p L 0 F 1 d G 9 S Z W 1 v d m V k Q 2 9 s d W 1 u c z E u e 2 1 v b n R l U G F y X z U w X z M w L n R 4 d C w z M X 0 m c X V v d D t d L C Z x d W 9 0 O 0 N v b H V t b k N v d W 5 0 J n F 1 b 3 Q 7 O j M y L C Z x d W 9 0 O 0 t l e U N v b H V t b k 5 h b W V z J n F 1 b 3 Q 7 O l t d L C Z x d W 9 0 O 0 N v b H V t b k l k Z W 5 0 a X R p Z X M m c X V v d D s 6 W y Z x d W 9 0 O 1 N l Y 3 R p b 2 4 x L 3 g g K D M p L 0 F 1 d G 9 S Z W 1 v d m V k Q 2 9 s d W 1 u c z E u e 2 1 p b k 1 h e F B h c l 8 1 M F 8 x N S 5 0 e H Q s M H 0 m c X V v d D s s J n F 1 b 3 Q 7 U 2 V j d G l v b j E v e C A o M y k v Q X V 0 b 1 J l b W 9 2 Z W R D b 2 x 1 b W 5 z M S 5 7 b W l u T W F 4 U G F y X z U w X z E 2 L n R 4 d C w x f S Z x d W 9 0 O y w m c X V v d D t T Z W N 0 a W 9 u M S 9 4 I C g z K S 9 B d X R v U m V t b 3 Z l Z E N v b H V t b n M x L n t t a W 5 N Y X h Q Y X J f N T B f M T c u d H h 0 L D J 9 J n F 1 b 3 Q 7 L C Z x d W 9 0 O 1 N l Y 3 R p b 2 4 x L 3 g g K D M p L 0 F 1 d G 9 S Z W 1 v d m V k Q 2 9 s d W 1 u c z E u e 2 1 p b k 1 h e F B h c l 8 1 M F 8 x O C 5 0 e H Q s M 3 0 m c X V v d D s s J n F 1 b 3 Q 7 U 2 V j d G l v b j E v e C A o M y k v Q X V 0 b 1 J l b W 9 2 Z W R D b 2 x 1 b W 5 z M S 5 7 b W l u T W F 4 U G F y X z U w X z E 5 L n R 4 d C w 0 f S Z x d W 9 0 O y w m c X V v d D t T Z W N 0 a W 9 u M S 9 4 I C g z K S 9 B d X R v U m V t b 3 Z l Z E N v b H V t b n M x L n t t a W 5 N Y X h Q Y X J f N T B f M j A u d H h 0 L D V 9 J n F 1 b 3 Q 7 L C Z x d W 9 0 O 1 N l Y 3 R p b 2 4 x L 3 g g K D M p L 0 F 1 d G 9 S Z W 1 v d m V k Q 2 9 s d W 1 u c z E u e 2 1 p b k 1 h e F B h c l 8 1 M F 8 y M S 5 0 e H Q s N n 0 m c X V v d D s s J n F 1 b 3 Q 7 U 2 V j d G l v b j E v e C A o M y k v Q X V 0 b 1 J l b W 9 2 Z W R D b 2 x 1 b W 5 z M S 5 7 b W l u T W F 4 U G F y X z U w X z I y L n R 4 d C w 3 f S Z x d W 9 0 O y w m c X V v d D t T Z W N 0 a W 9 u M S 9 4 I C g z K S 9 B d X R v U m V t b 3 Z l Z E N v b H V t b n M x L n t t a W 5 N Y X h Q Y X J f N T B f M j M u d H h 0 L D h 9 J n F 1 b 3 Q 7 L C Z x d W 9 0 O 1 N l Y 3 R p b 2 4 x L 3 g g K D M p L 0 F 1 d G 9 S Z W 1 v d m V k Q 2 9 s d W 1 u c z E u e 2 1 p b k 1 h e F B h c l 8 1 M F 8 y N C 5 0 e H Q s O X 0 m c X V v d D s s J n F 1 b 3 Q 7 U 2 V j d G l v b j E v e C A o M y k v Q X V 0 b 1 J l b W 9 2 Z W R D b 2 x 1 b W 5 z M S 5 7 b W l u T W F 4 U G F y X z U w X z I 1 L n R 4 d C w x M H 0 m c X V v d D s s J n F 1 b 3 Q 7 U 2 V j d G l v b j E v e C A o M y k v Q X V 0 b 1 J l b W 9 2 Z W R D b 2 x 1 b W 5 z M S 5 7 b W l u T W F 4 U G F y X z U w X z I 2 L n R 4 d C w x M X 0 m c X V v d D s s J n F 1 b 3 Q 7 U 2 V j d G l v b j E v e C A o M y k v Q X V 0 b 1 J l b W 9 2 Z W R D b 2 x 1 b W 5 z M S 5 7 b W l u T W F 4 U G F y X z U w X z I 3 L n R 4 d C w x M n 0 m c X V v d D s s J n F 1 b 3 Q 7 U 2 V j d G l v b j E v e C A o M y k v Q X V 0 b 1 J l b W 9 2 Z W R D b 2 x 1 b W 5 z M S 5 7 b W l u T W F 4 U G F y X z U w X z I 4 L n R 4 d C w x M 3 0 m c X V v d D s s J n F 1 b 3 Q 7 U 2 V j d G l v b j E v e C A o M y k v Q X V 0 b 1 J l b W 9 2 Z W R D b 2 x 1 b W 5 z M S 5 7 b W l u T W F 4 U G F y X z U w X z I 5 L n R 4 d C w x N H 0 m c X V v d D s s J n F 1 b 3 Q 7 U 2 V j d G l v b j E v e C A o M y k v Q X V 0 b 1 J l b W 9 2 Z W R D b 2 x 1 b W 5 z M S 5 7 b W l u T W F 4 U G F y X z U w X z M w L n R 4 d C w x N X 0 m c X V v d D s s J n F 1 b 3 Q 7 U 2 V j d G l v b j E v e C A o M y k v Q X V 0 b 1 J l b W 9 2 Z W R D b 2 x 1 b W 5 z M S 5 7 b W 9 u d G V Q Y X J f N T B f M T U u d H h 0 L D E 2 f S Z x d W 9 0 O y w m c X V v d D t T Z W N 0 a W 9 u M S 9 4 I C g z K S 9 B d X R v U m V t b 3 Z l Z E N v b H V t b n M x L n t t b 2 5 0 Z V B h c l 8 1 M F 8 x N i 5 0 e H Q s M T d 9 J n F 1 b 3 Q 7 L C Z x d W 9 0 O 1 N l Y 3 R p b 2 4 x L 3 g g K D M p L 0 F 1 d G 9 S Z W 1 v d m V k Q 2 9 s d W 1 u c z E u e 2 1 v b n R l U G F y X z U w X z E 3 L n R 4 d C w x O H 0 m c X V v d D s s J n F 1 b 3 Q 7 U 2 V j d G l v b j E v e C A o M y k v Q X V 0 b 1 J l b W 9 2 Z W R D b 2 x 1 b W 5 z M S 5 7 b W 9 u d G V Q Y X J f N T B f M T g u d H h 0 L D E 5 f S Z x d W 9 0 O y w m c X V v d D t T Z W N 0 a W 9 u M S 9 4 I C g z K S 9 B d X R v U m V t b 3 Z l Z E N v b H V t b n M x L n t t b 2 5 0 Z V B h c l 8 1 M F 8 x O S 5 0 e H Q s M j B 9 J n F 1 b 3 Q 7 L C Z x d W 9 0 O 1 N l Y 3 R p b 2 4 x L 3 g g K D M p L 0 F 1 d G 9 S Z W 1 v d m V k Q 2 9 s d W 1 u c z E u e 2 1 v b n R l U G F y X z U w X z I w L n R 4 d C w y M X 0 m c X V v d D s s J n F 1 b 3 Q 7 U 2 V j d G l v b j E v e C A o M y k v Q X V 0 b 1 J l b W 9 2 Z W R D b 2 x 1 b W 5 z M S 5 7 b W 9 u d G V Q Y X J f N T B f M j E u d H h 0 L D I y f S Z x d W 9 0 O y w m c X V v d D t T Z W N 0 a W 9 u M S 9 4 I C g z K S 9 B d X R v U m V t b 3 Z l Z E N v b H V t b n M x L n t t b 2 5 0 Z V B h c l 8 1 M F 8 y M i 5 0 e H Q s M j N 9 J n F 1 b 3 Q 7 L C Z x d W 9 0 O 1 N l Y 3 R p b 2 4 x L 3 g g K D M p L 0 F 1 d G 9 S Z W 1 v d m V k Q 2 9 s d W 1 u c z E u e 2 1 v b n R l U G F y X z U w X z I z L n R 4 d C w y N H 0 m c X V v d D s s J n F 1 b 3 Q 7 U 2 V j d G l v b j E v e C A o M y k v Q X V 0 b 1 J l b W 9 2 Z W R D b 2 x 1 b W 5 z M S 5 7 b W 9 u d G V Q Y X J f N T B f M j Q u d H h 0 L D I 1 f S Z x d W 9 0 O y w m c X V v d D t T Z W N 0 a W 9 u M S 9 4 I C g z K S 9 B d X R v U m V t b 3 Z l Z E N v b H V t b n M x L n t t b 2 5 0 Z V B h c l 8 1 M F 8 y N S 5 0 e H Q s M j Z 9 J n F 1 b 3 Q 7 L C Z x d W 9 0 O 1 N l Y 3 R p b 2 4 x L 3 g g K D M p L 0 F 1 d G 9 S Z W 1 v d m V k Q 2 9 s d W 1 u c z E u e 2 1 v b n R l U G F y X z U w X z I 2 L n R 4 d C w y N 3 0 m c X V v d D s s J n F 1 b 3 Q 7 U 2 V j d G l v b j E v e C A o M y k v Q X V 0 b 1 J l b W 9 2 Z W R D b 2 x 1 b W 5 z M S 5 7 b W 9 u d G V Q Y X J f N T B f M j c u d H h 0 L D I 4 f S Z x d W 9 0 O y w m c X V v d D t T Z W N 0 a W 9 u M S 9 4 I C g z K S 9 B d X R v U m V t b 3 Z l Z E N v b H V t b n M x L n t t b 2 5 0 Z V B h c l 8 1 M F 8 y O C 5 0 e H Q s M j l 9 J n F 1 b 3 Q 7 L C Z x d W 9 0 O 1 N l Y 3 R p b 2 4 x L 3 g g K D M p L 0 F 1 d G 9 S Z W 1 v d m V k Q 2 9 s d W 1 u c z E u e 2 1 v b n R l U G F y X z U w X z I 5 L n R 4 d C w z M H 0 m c X V v d D s s J n F 1 b 3 Q 7 U 2 V j d G l v b j E v e C A o M y k v Q X V 0 b 1 J l b W 9 2 Z W R D b 2 x 1 b W 5 z M S 5 7 b W 9 u d G V Q Y X J f N T B f M z A u d H h 0 L D M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C U y M C g z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4 J T I w K D M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C U y M C g z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4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e F 9 f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y O F Q x O D o w M j o 1 N C 4 2 M D Q 1 N T Q 1 W i I g L z 4 8 R W 5 0 c n k g V H l w Z T 0 i R m l s b E N v b H V t b l R 5 c G V z I i B W Y W x 1 Z T 0 i c 0 J R V U Z C U V V G Q l F V R k J R V U Z C U V V G Q l F V R k J R V U Z C U V V G Q l F V R k J R V U Z C U V U 9 I i A v P j x F b n R y e S B U e X B l P S J G a W x s Q 2 9 s d W 1 u T m F t Z X M i I F Z h b H V l P S J z W y Z x d W 9 0 O 2 1 p b k 1 h e F B h c l 8 1 M F 8 x N S 5 0 e H Q m c X V v d D s s J n F 1 b 3 Q 7 b W l u T W F 4 U G F y X z U w X z E 2 L n R 4 d C Z x d W 9 0 O y w m c X V v d D t t a W 5 N Y X h Q Y X J f N T B f M T c u d H h 0 J n F 1 b 3 Q 7 L C Z x d W 9 0 O 2 1 p b k 1 h e F B h c l 8 1 M F 8 x O C 5 0 e H Q m c X V v d D s s J n F 1 b 3 Q 7 b W l u T W F 4 U G F y X z U w X z E 5 L n R 4 d C Z x d W 9 0 O y w m c X V v d D t t a W 5 N Y X h Q Y X J f N T B f M j A u d H h 0 J n F 1 b 3 Q 7 L C Z x d W 9 0 O 2 1 p b k 1 h e F B h c l 8 1 M F 8 y M S 5 0 e H Q m c X V v d D s s J n F 1 b 3 Q 7 b W l u T W F 4 U G F y X z U w X z I y L n R 4 d C Z x d W 9 0 O y w m c X V v d D t t a W 5 N Y X h Q Y X J f N T B f M j M u d H h 0 J n F 1 b 3 Q 7 L C Z x d W 9 0 O 2 1 p b k 1 h e F B h c l 8 1 M F 8 y N C 5 0 e H Q m c X V v d D s s J n F 1 b 3 Q 7 b W l u T W F 4 U G F y X z U w X z I 1 L n R 4 d C Z x d W 9 0 O y w m c X V v d D t t a W 5 N Y X h Q Y X J f N T B f M j Y u d H h 0 J n F 1 b 3 Q 7 L C Z x d W 9 0 O 2 1 p b k 1 h e F B h c l 8 1 M F 8 y N y 5 0 e H Q m c X V v d D s s J n F 1 b 3 Q 7 b W l u T W F 4 U G F y X z U w X z I 4 L n R 4 d C Z x d W 9 0 O y w m c X V v d D t t a W 5 N Y X h Q Y X J f N T B f M j k u d H h 0 J n F 1 b 3 Q 7 L C Z x d W 9 0 O 2 1 p b k 1 h e F B h c l 8 1 M F 8 z M C 5 0 e H Q m c X V v d D s s J n F 1 b 3 Q 7 b W 9 u d G V Q Y X J f N T B f M T U u d H h 0 J n F 1 b 3 Q 7 L C Z x d W 9 0 O 2 1 v b n R l U G F y X z U w X z E 2 L n R 4 d C Z x d W 9 0 O y w m c X V v d D t t b 2 5 0 Z V B h c l 8 1 M F 8 x N y 5 0 e H Q m c X V v d D s s J n F 1 b 3 Q 7 b W 9 u d G V Q Y X J f N T B f M T g u d H h 0 J n F 1 b 3 Q 7 L C Z x d W 9 0 O 2 1 v b n R l U G F y X z U w X z E 5 L n R 4 d C Z x d W 9 0 O y w m c X V v d D t t b 2 5 0 Z V B h c l 8 1 M F 8 y M C 5 0 e H Q m c X V v d D s s J n F 1 b 3 Q 7 b W 9 u d G V Q Y X J f N T B f M j E u d H h 0 J n F 1 b 3 Q 7 L C Z x d W 9 0 O 2 1 v b n R l U G F y X z U w X z I y L n R 4 d C Z x d W 9 0 O y w m c X V v d D t t b 2 5 0 Z V B h c l 8 1 M F 8 y M y 5 0 e H Q m c X V v d D s s J n F 1 b 3 Q 7 b W 9 u d G V Q Y X J f N T B f M j Q u d H h 0 J n F 1 b 3 Q 7 L C Z x d W 9 0 O 2 1 v b n R l U G F y X z U w X z I 1 L n R 4 d C Z x d W 9 0 O y w m c X V v d D t t b 2 5 0 Z V B h c l 8 1 M F 8 y N i 5 0 e H Q m c X V v d D s s J n F 1 b 3 Q 7 b W 9 u d G V Q Y X J f N T B f M j c u d H h 0 J n F 1 b 3 Q 7 L C Z x d W 9 0 O 2 1 v b n R l U G F y X z U w X z I 4 L n R 4 d C Z x d W 9 0 O y w m c X V v d D t t b 2 5 0 Z V B h c l 8 1 M F 8 y O S 5 0 e H Q m c X V v d D s s J n F 1 b 3 Q 7 b W 9 u d G V Q Y X J f N T B f M z A u d H h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z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g g K D Q p L 0 F 1 d G 9 S Z W 1 v d m V k Q 2 9 s d W 1 u c z E u e 2 1 p b k 1 h e F B h c l 8 1 M F 8 x N S 5 0 e H Q s M H 0 m c X V v d D s s J n F 1 b 3 Q 7 U 2 V j d G l v b j E v e C A o N C k v Q X V 0 b 1 J l b W 9 2 Z W R D b 2 x 1 b W 5 z M S 5 7 b W l u T W F 4 U G F y X z U w X z E 2 L n R 4 d C w x f S Z x d W 9 0 O y w m c X V v d D t T Z W N 0 a W 9 u M S 9 4 I C g 0 K S 9 B d X R v U m V t b 3 Z l Z E N v b H V t b n M x L n t t a W 5 N Y X h Q Y X J f N T B f M T c u d H h 0 L D J 9 J n F 1 b 3 Q 7 L C Z x d W 9 0 O 1 N l Y 3 R p b 2 4 x L 3 g g K D Q p L 0 F 1 d G 9 S Z W 1 v d m V k Q 2 9 s d W 1 u c z E u e 2 1 p b k 1 h e F B h c l 8 1 M F 8 x O C 5 0 e H Q s M 3 0 m c X V v d D s s J n F 1 b 3 Q 7 U 2 V j d G l v b j E v e C A o N C k v Q X V 0 b 1 J l b W 9 2 Z W R D b 2 x 1 b W 5 z M S 5 7 b W l u T W F 4 U G F y X z U w X z E 5 L n R 4 d C w 0 f S Z x d W 9 0 O y w m c X V v d D t T Z W N 0 a W 9 u M S 9 4 I C g 0 K S 9 B d X R v U m V t b 3 Z l Z E N v b H V t b n M x L n t t a W 5 N Y X h Q Y X J f N T B f M j A u d H h 0 L D V 9 J n F 1 b 3 Q 7 L C Z x d W 9 0 O 1 N l Y 3 R p b 2 4 x L 3 g g K D Q p L 0 F 1 d G 9 S Z W 1 v d m V k Q 2 9 s d W 1 u c z E u e 2 1 p b k 1 h e F B h c l 8 1 M F 8 y M S 5 0 e H Q s N n 0 m c X V v d D s s J n F 1 b 3 Q 7 U 2 V j d G l v b j E v e C A o N C k v Q X V 0 b 1 J l b W 9 2 Z W R D b 2 x 1 b W 5 z M S 5 7 b W l u T W F 4 U G F y X z U w X z I y L n R 4 d C w 3 f S Z x d W 9 0 O y w m c X V v d D t T Z W N 0 a W 9 u M S 9 4 I C g 0 K S 9 B d X R v U m V t b 3 Z l Z E N v b H V t b n M x L n t t a W 5 N Y X h Q Y X J f N T B f M j M u d H h 0 L D h 9 J n F 1 b 3 Q 7 L C Z x d W 9 0 O 1 N l Y 3 R p b 2 4 x L 3 g g K D Q p L 0 F 1 d G 9 S Z W 1 v d m V k Q 2 9 s d W 1 u c z E u e 2 1 p b k 1 h e F B h c l 8 1 M F 8 y N C 5 0 e H Q s O X 0 m c X V v d D s s J n F 1 b 3 Q 7 U 2 V j d G l v b j E v e C A o N C k v Q X V 0 b 1 J l b W 9 2 Z W R D b 2 x 1 b W 5 z M S 5 7 b W l u T W F 4 U G F y X z U w X z I 1 L n R 4 d C w x M H 0 m c X V v d D s s J n F 1 b 3 Q 7 U 2 V j d G l v b j E v e C A o N C k v Q X V 0 b 1 J l b W 9 2 Z W R D b 2 x 1 b W 5 z M S 5 7 b W l u T W F 4 U G F y X z U w X z I 2 L n R 4 d C w x M X 0 m c X V v d D s s J n F 1 b 3 Q 7 U 2 V j d G l v b j E v e C A o N C k v Q X V 0 b 1 J l b W 9 2 Z W R D b 2 x 1 b W 5 z M S 5 7 b W l u T W F 4 U G F y X z U w X z I 3 L n R 4 d C w x M n 0 m c X V v d D s s J n F 1 b 3 Q 7 U 2 V j d G l v b j E v e C A o N C k v Q X V 0 b 1 J l b W 9 2 Z W R D b 2 x 1 b W 5 z M S 5 7 b W l u T W F 4 U G F y X z U w X z I 4 L n R 4 d C w x M 3 0 m c X V v d D s s J n F 1 b 3 Q 7 U 2 V j d G l v b j E v e C A o N C k v Q X V 0 b 1 J l b W 9 2 Z W R D b 2 x 1 b W 5 z M S 5 7 b W l u T W F 4 U G F y X z U w X z I 5 L n R 4 d C w x N H 0 m c X V v d D s s J n F 1 b 3 Q 7 U 2 V j d G l v b j E v e C A o N C k v Q X V 0 b 1 J l b W 9 2 Z W R D b 2 x 1 b W 5 z M S 5 7 b W l u T W F 4 U G F y X z U w X z M w L n R 4 d C w x N X 0 m c X V v d D s s J n F 1 b 3 Q 7 U 2 V j d G l v b j E v e C A o N C k v Q X V 0 b 1 J l b W 9 2 Z W R D b 2 x 1 b W 5 z M S 5 7 b W 9 u d G V Q Y X J f N T B f M T U u d H h 0 L D E 2 f S Z x d W 9 0 O y w m c X V v d D t T Z W N 0 a W 9 u M S 9 4 I C g 0 K S 9 B d X R v U m V t b 3 Z l Z E N v b H V t b n M x L n t t b 2 5 0 Z V B h c l 8 1 M F 8 x N i 5 0 e H Q s M T d 9 J n F 1 b 3 Q 7 L C Z x d W 9 0 O 1 N l Y 3 R p b 2 4 x L 3 g g K D Q p L 0 F 1 d G 9 S Z W 1 v d m V k Q 2 9 s d W 1 u c z E u e 2 1 v b n R l U G F y X z U w X z E 3 L n R 4 d C w x O H 0 m c X V v d D s s J n F 1 b 3 Q 7 U 2 V j d G l v b j E v e C A o N C k v Q X V 0 b 1 J l b W 9 2 Z W R D b 2 x 1 b W 5 z M S 5 7 b W 9 u d G V Q Y X J f N T B f M T g u d H h 0 L D E 5 f S Z x d W 9 0 O y w m c X V v d D t T Z W N 0 a W 9 u M S 9 4 I C g 0 K S 9 B d X R v U m V t b 3 Z l Z E N v b H V t b n M x L n t t b 2 5 0 Z V B h c l 8 1 M F 8 x O S 5 0 e H Q s M j B 9 J n F 1 b 3 Q 7 L C Z x d W 9 0 O 1 N l Y 3 R p b 2 4 x L 3 g g K D Q p L 0 F 1 d G 9 S Z W 1 v d m V k Q 2 9 s d W 1 u c z E u e 2 1 v b n R l U G F y X z U w X z I w L n R 4 d C w y M X 0 m c X V v d D s s J n F 1 b 3 Q 7 U 2 V j d G l v b j E v e C A o N C k v Q X V 0 b 1 J l b W 9 2 Z W R D b 2 x 1 b W 5 z M S 5 7 b W 9 u d G V Q Y X J f N T B f M j E u d H h 0 L D I y f S Z x d W 9 0 O y w m c X V v d D t T Z W N 0 a W 9 u M S 9 4 I C g 0 K S 9 B d X R v U m V t b 3 Z l Z E N v b H V t b n M x L n t t b 2 5 0 Z V B h c l 8 1 M F 8 y M i 5 0 e H Q s M j N 9 J n F 1 b 3 Q 7 L C Z x d W 9 0 O 1 N l Y 3 R p b 2 4 x L 3 g g K D Q p L 0 F 1 d G 9 S Z W 1 v d m V k Q 2 9 s d W 1 u c z E u e 2 1 v b n R l U G F y X z U w X z I z L n R 4 d C w y N H 0 m c X V v d D s s J n F 1 b 3 Q 7 U 2 V j d G l v b j E v e C A o N C k v Q X V 0 b 1 J l b W 9 2 Z W R D b 2 x 1 b W 5 z M S 5 7 b W 9 u d G V Q Y X J f N T B f M j Q u d H h 0 L D I 1 f S Z x d W 9 0 O y w m c X V v d D t T Z W N 0 a W 9 u M S 9 4 I C g 0 K S 9 B d X R v U m V t b 3 Z l Z E N v b H V t b n M x L n t t b 2 5 0 Z V B h c l 8 1 M F 8 y N S 5 0 e H Q s M j Z 9 J n F 1 b 3 Q 7 L C Z x d W 9 0 O 1 N l Y 3 R p b 2 4 x L 3 g g K D Q p L 0 F 1 d G 9 S Z W 1 v d m V k Q 2 9 s d W 1 u c z E u e 2 1 v b n R l U G F y X z U w X z I 2 L n R 4 d C w y N 3 0 m c X V v d D s s J n F 1 b 3 Q 7 U 2 V j d G l v b j E v e C A o N C k v Q X V 0 b 1 J l b W 9 2 Z W R D b 2 x 1 b W 5 z M S 5 7 b W 9 u d G V Q Y X J f N T B f M j c u d H h 0 L D I 4 f S Z x d W 9 0 O y w m c X V v d D t T Z W N 0 a W 9 u M S 9 4 I C g 0 K S 9 B d X R v U m V t b 3 Z l Z E N v b H V t b n M x L n t t b 2 5 0 Z V B h c l 8 1 M F 8 y O C 5 0 e H Q s M j l 9 J n F 1 b 3 Q 7 L C Z x d W 9 0 O 1 N l Y 3 R p b 2 4 x L 3 g g K D Q p L 0 F 1 d G 9 S Z W 1 v d m V k Q 2 9 s d W 1 u c z E u e 2 1 v b n R l U G F y X z U w X z I 5 L n R 4 d C w z M H 0 m c X V v d D s s J n F 1 b 3 Q 7 U 2 V j d G l v b j E v e C A o N C k v Q X V 0 b 1 J l b W 9 2 Z W R D b 2 x 1 b W 5 z M S 5 7 b W 9 u d G V Q Y X J f N T B f M z A u d H h 0 L D M x f S Z x d W 9 0 O 1 0 s J n F 1 b 3 Q 7 Q 2 9 s d W 1 u Q 2 9 1 b n Q m c X V v d D s 6 M z I s J n F 1 b 3 Q 7 S 2 V 5 Q 2 9 s d W 1 u T m F t Z X M m c X V v d D s 6 W 1 0 s J n F 1 b 3 Q 7 Q 2 9 s d W 1 u S W R l b n R p d G l l c y Z x d W 9 0 O z p b J n F 1 b 3 Q 7 U 2 V j d G l v b j E v e C A o N C k v Q X V 0 b 1 J l b W 9 2 Z W R D b 2 x 1 b W 5 z M S 5 7 b W l u T W F 4 U G F y X z U w X z E 1 L n R 4 d C w w f S Z x d W 9 0 O y w m c X V v d D t T Z W N 0 a W 9 u M S 9 4 I C g 0 K S 9 B d X R v U m V t b 3 Z l Z E N v b H V t b n M x L n t t a W 5 N Y X h Q Y X J f N T B f M T Y u d H h 0 L D F 9 J n F 1 b 3 Q 7 L C Z x d W 9 0 O 1 N l Y 3 R p b 2 4 x L 3 g g K D Q p L 0 F 1 d G 9 S Z W 1 v d m V k Q 2 9 s d W 1 u c z E u e 2 1 p b k 1 h e F B h c l 8 1 M F 8 x N y 5 0 e H Q s M n 0 m c X V v d D s s J n F 1 b 3 Q 7 U 2 V j d G l v b j E v e C A o N C k v Q X V 0 b 1 J l b W 9 2 Z W R D b 2 x 1 b W 5 z M S 5 7 b W l u T W F 4 U G F y X z U w X z E 4 L n R 4 d C w z f S Z x d W 9 0 O y w m c X V v d D t T Z W N 0 a W 9 u M S 9 4 I C g 0 K S 9 B d X R v U m V t b 3 Z l Z E N v b H V t b n M x L n t t a W 5 N Y X h Q Y X J f N T B f M T k u d H h 0 L D R 9 J n F 1 b 3 Q 7 L C Z x d W 9 0 O 1 N l Y 3 R p b 2 4 x L 3 g g K D Q p L 0 F 1 d G 9 S Z W 1 v d m V k Q 2 9 s d W 1 u c z E u e 2 1 p b k 1 h e F B h c l 8 1 M F 8 y M C 5 0 e H Q s N X 0 m c X V v d D s s J n F 1 b 3 Q 7 U 2 V j d G l v b j E v e C A o N C k v Q X V 0 b 1 J l b W 9 2 Z W R D b 2 x 1 b W 5 z M S 5 7 b W l u T W F 4 U G F y X z U w X z I x L n R 4 d C w 2 f S Z x d W 9 0 O y w m c X V v d D t T Z W N 0 a W 9 u M S 9 4 I C g 0 K S 9 B d X R v U m V t b 3 Z l Z E N v b H V t b n M x L n t t a W 5 N Y X h Q Y X J f N T B f M j I u d H h 0 L D d 9 J n F 1 b 3 Q 7 L C Z x d W 9 0 O 1 N l Y 3 R p b 2 4 x L 3 g g K D Q p L 0 F 1 d G 9 S Z W 1 v d m V k Q 2 9 s d W 1 u c z E u e 2 1 p b k 1 h e F B h c l 8 1 M F 8 y M y 5 0 e H Q s O H 0 m c X V v d D s s J n F 1 b 3 Q 7 U 2 V j d G l v b j E v e C A o N C k v Q X V 0 b 1 J l b W 9 2 Z W R D b 2 x 1 b W 5 z M S 5 7 b W l u T W F 4 U G F y X z U w X z I 0 L n R 4 d C w 5 f S Z x d W 9 0 O y w m c X V v d D t T Z W N 0 a W 9 u M S 9 4 I C g 0 K S 9 B d X R v U m V t b 3 Z l Z E N v b H V t b n M x L n t t a W 5 N Y X h Q Y X J f N T B f M j U u d H h 0 L D E w f S Z x d W 9 0 O y w m c X V v d D t T Z W N 0 a W 9 u M S 9 4 I C g 0 K S 9 B d X R v U m V t b 3 Z l Z E N v b H V t b n M x L n t t a W 5 N Y X h Q Y X J f N T B f M j Y u d H h 0 L D E x f S Z x d W 9 0 O y w m c X V v d D t T Z W N 0 a W 9 u M S 9 4 I C g 0 K S 9 B d X R v U m V t b 3 Z l Z E N v b H V t b n M x L n t t a W 5 N Y X h Q Y X J f N T B f M j c u d H h 0 L D E y f S Z x d W 9 0 O y w m c X V v d D t T Z W N 0 a W 9 u M S 9 4 I C g 0 K S 9 B d X R v U m V t b 3 Z l Z E N v b H V t b n M x L n t t a W 5 N Y X h Q Y X J f N T B f M j g u d H h 0 L D E z f S Z x d W 9 0 O y w m c X V v d D t T Z W N 0 a W 9 u M S 9 4 I C g 0 K S 9 B d X R v U m V t b 3 Z l Z E N v b H V t b n M x L n t t a W 5 N Y X h Q Y X J f N T B f M j k u d H h 0 L D E 0 f S Z x d W 9 0 O y w m c X V v d D t T Z W N 0 a W 9 u M S 9 4 I C g 0 K S 9 B d X R v U m V t b 3 Z l Z E N v b H V t b n M x L n t t a W 5 N Y X h Q Y X J f N T B f M z A u d H h 0 L D E 1 f S Z x d W 9 0 O y w m c X V v d D t T Z W N 0 a W 9 u M S 9 4 I C g 0 K S 9 B d X R v U m V t b 3 Z l Z E N v b H V t b n M x L n t t b 2 5 0 Z V B h c l 8 1 M F 8 x N S 5 0 e H Q s M T Z 9 J n F 1 b 3 Q 7 L C Z x d W 9 0 O 1 N l Y 3 R p b 2 4 x L 3 g g K D Q p L 0 F 1 d G 9 S Z W 1 v d m V k Q 2 9 s d W 1 u c z E u e 2 1 v b n R l U G F y X z U w X z E 2 L n R 4 d C w x N 3 0 m c X V v d D s s J n F 1 b 3 Q 7 U 2 V j d G l v b j E v e C A o N C k v Q X V 0 b 1 J l b W 9 2 Z W R D b 2 x 1 b W 5 z M S 5 7 b W 9 u d G V Q Y X J f N T B f M T c u d H h 0 L D E 4 f S Z x d W 9 0 O y w m c X V v d D t T Z W N 0 a W 9 u M S 9 4 I C g 0 K S 9 B d X R v U m V t b 3 Z l Z E N v b H V t b n M x L n t t b 2 5 0 Z V B h c l 8 1 M F 8 x O C 5 0 e H Q s M T l 9 J n F 1 b 3 Q 7 L C Z x d W 9 0 O 1 N l Y 3 R p b 2 4 x L 3 g g K D Q p L 0 F 1 d G 9 S Z W 1 v d m V k Q 2 9 s d W 1 u c z E u e 2 1 v b n R l U G F y X z U w X z E 5 L n R 4 d C w y M H 0 m c X V v d D s s J n F 1 b 3 Q 7 U 2 V j d G l v b j E v e C A o N C k v Q X V 0 b 1 J l b W 9 2 Z W R D b 2 x 1 b W 5 z M S 5 7 b W 9 u d G V Q Y X J f N T B f M j A u d H h 0 L D I x f S Z x d W 9 0 O y w m c X V v d D t T Z W N 0 a W 9 u M S 9 4 I C g 0 K S 9 B d X R v U m V t b 3 Z l Z E N v b H V t b n M x L n t t b 2 5 0 Z V B h c l 8 1 M F 8 y M S 5 0 e H Q s M j J 9 J n F 1 b 3 Q 7 L C Z x d W 9 0 O 1 N l Y 3 R p b 2 4 x L 3 g g K D Q p L 0 F 1 d G 9 S Z W 1 v d m V k Q 2 9 s d W 1 u c z E u e 2 1 v b n R l U G F y X z U w X z I y L n R 4 d C w y M 3 0 m c X V v d D s s J n F 1 b 3 Q 7 U 2 V j d G l v b j E v e C A o N C k v Q X V 0 b 1 J l b W 9 2 Z W R D b 2 x 1 b W 5 z M S 5 7 b W 9 u d G V Q Y X J f N T B f M j M u d H h 0 L D I 0 f S Z x d W 9 0 O y w m c X V v d D t T Z W N 0 a W 9 u M S 9 4 I C g 0 K S 9 B d X R v U m V t b 3 Z l Z E N v b H V t b n M x L n t t b 2 5 0 Z V B h c l 8 1 M F 8 y N C 5 0 e H Q s M j V 9 J n F 1 b 3 Q 7 L C Z x d W 9 0 O 1 N l Y 3 R p b 2 4 x L 3 g g K D Q p L 0 F 1 d G 9 S Z W 1 v d m V k Q 2 9 s d W 1 u c z E u e 2 1 v b n R l U G F y X z U w X z I 1 L n R 4 d C w y N n 0 m c X V v d D s s J n F 1 b 3 Q 7 U 2 V j d G l v b j E v e C A o N C k v Q X V 0 b 1 J l b W 9 2 Z W R D b 2 x 1 b W 5 z M S 5 7 b W 9 u d G V Q Y X J f N T B f M j Y u d H h 0 L D I 3 f S Z x d W 9 0 O y w m c X V v d D t T Z W N 0 a W 9 u M S 9 4 I C g 0 K S 9 B d X R v U m V t b 3 Z l Z E N v b H V t b n M x L n t t b 2 5 0 Z V B h c l 8 1 M F 8 y N y 5 0 e H Q s M j h 9 J n F 1 b 3 Q 7 L C Z x d W 9 0 O 1 N l Y 3 R p b 2 4 x L 3 g g K D Q p L 0 F 1 d G 9 S Z W 1 v d m V k Q 2 9 s d W 1 u c z E u e 2 1 v b n R l U G F y X z U w X z I 4 L n R 4 d C w y O X 0 m c X V v d D s s J n F 1 b 3 Q 7 U 2 V j d G l v b j E v e C A o N C k v Q X V 0 b 1 J l b W 9 2 Z W R D b 2 x 1 b W 5 z M S 5 7 b W 9 u d G V Q Y X J f N T B f M j k u d H h 0 L D M w f S Z x d W 9 0 O y w m c X V v d D t T Z W N 0 a W 9 u M S 9 4 I C g 0 K S 9 B d X R v U m V t b 3 Z l Z E N v b H V t b n M x L n t t b 2 5 0 Z V B h c l 8 1 M F 8 z M C 5 0 e H Q s M z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4 J T I w K D Q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g l M j A o N C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4 J T I w K D Q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g l M j A o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4 X 1 8 1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x L T I 4 V D E 4 O j A z O j E 3 L j U x M j I 5 O D Z a I i A v P j x F b n R y e S B U e X B l P S J G a W x s Q 2 9 s d W 1 u V H l w Z X M i I F Z h b H V l P S J z Q l F V R k J R V U Z C U V V G Q l F V R k J R V U Z C U V V G Q l F V R k J R V U Z C U V V G Q l F V R k J R V T 0 i I C 8 + P E V u d H J 5 I F R 5 c G U 9 I k Z p b G x D b 2 x 1 b W 5 O Y W 1 l c y I g V m F s d W U 9 I n N b J n F 1 b 3 Q 7 b W l u T W F 4 U G F y X z U w X z E 1 L n R 4 d C Z x d W 9 0 O y w m c X V v d D t t a W 5 N Y X h Q Y X J f N T B f M T Y u d H h 0 J n F 1 b 3 Q 7 L C Z x d W 9 0 O 2 1 p b k 1 h e F B h c l 8 1 M F 8 x N y 5 0 e H Q m c X V v d D s s J n F 1 b 3 Q 7 b W l u T W F 4 U G F y X z U w X z E 4 L n R 4 d C Z x d W 9 0 O y w m c X V v d D t t a W 5 N Y X h Q Y X J f N T B f M T k u d H h 0 J n F 1 b 3 Q 7 L C Z x d W 9 0 O 2 1 p b k 1 h e F B h c l 8 1 M F 8 y M C 5 0 e H Q m c X V v d D s s J n F 1 b 3 Q 7 b W l u T W F 4 U G F y X z U w X z I x L n R 4 d C Z x d W 9 0 O y w m c X V v d D t t a W 5 N Y X h Q Y X J f N T B f M j I u d H h 0 J n F 1 b 3 Q 7 L C Z x d W 9 0 O 2 1 p b k 1 h e F B h c l 8 1 M F 8 y M y 5 0 e H Q m c X V v d D s s J n F 1 b 3 Q 7 b W l u T W F 4 U G F y X z U w X z I 0 L n R 4 d C Z x d W 9 0 O y w m c X V v d D t t a W 5 N Y X h Q Y X J f N T B f M j U u d H h 0 J n F 1 b 3 Q 7 L C Z x d W 9 0 O 2 1 p b k 1 h e F B h c l 8 1 M F 8 y N i 5 0 e H Q m c X V v d D s s J n F 1 b 3 Q 7 b W l u T W F 4 U G F y X z U w X z I 3 L n R 4 d C Z x d W 9 0 O y w m c X V v d D t t a W 5 N Y X h Q Y X J f N T B f M j g u d H h 0 J n F 1 b 3 Q 7 L C Z x d W 9 0 O 2 1 p b k 1 h e F B h c l 8 1 M F 8 y O S 5 0 e H Q m c X V v d D s s J n F 1 b 3 Q 7 b W l u T W F 4 U G F y X z U w X z M w L n R 4 d C Z x d W 9 0 O y w m c X V v d D t t b 2 5 0 Z V B h c l 8 1 M F 8 x N S 5 0 e H Q m c X V v d D s s J n F 1 b 3 Q 7 b W 9 u d G V Q Y X J f N T B f M T Y u d H h 0 J n F 1 b 3 Q 7 L C Z x d W 9 0 O 2 1 v b n R l U G F y X z U w X z E 3 L n R 4 d C Z x d W 9 0 O y w m c X V v d D t t b 2 5 0 Z V B h c l 8 1 M F 8 x O C 5 0 e H Q m c X V v d D s s J n F 1 b 3 Q 7 b W 9 u d G V Q Y X J f N T B f M T k u d H h 0 J n F 1 b 3 Q 7 L C Z x d W 9 0 O 2 1 v b n R l U G F y X z U w X z I w L n R 4 d C Z x d W 9 0 O y w m c X V v d D t t b 2 5 0 Z V B h c l 8 1 M F 8 y M S 5 0 e H Q m c X V v d D s s J n F 1 b 3 Q 7 b W 9 u d G V Q Y X J f N T B f M j I u d H h 0 J n F 1 b 3 Q 7 L C Z x d W 9 0 O 2 1 v b n R l U G F y X z U w X z I z L n R 4 d C Z x d W 9 0 O y w m c X V v d D t t b 2 5 0 Z V B h c l 8 1 M F 8 y N C 5 0 e H Q m c X V v d D s s J n F 1 b 3 Q 7 b W 9 u d G V Q Y X J f N T B f M j U u d H h 0 J n F 1 b 3 Q 7 L C Z x d W 9 0 O 2 1 v b n R l U G F y X z U w X z I 2 L n R 4 d C Z x d W 9 0 O y w m c X V v d D t t b 2 5 0 Z V B h c l 8 1 M F 8 y N y 5 0 e H Q m c X V v d D s s J n F 1 b 3 Q 7 b W 9 u d G V Q Y X J f N T B f M j g u d H h 0 J n F 1 b 3 Q 7 L C Z x d W 9 0 O 2 1 v b n R l U G F y X z U w X z I 5 L n R 4 d C Z x d W 9 0 O y w m c X V v d D t t b 2 5 0 Z V B h c l 8 1 M F 8 z M C 5 0 e H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C A o N S k v Q X V 0 b 1 J l b W 9 2 Z W R D b 2 x 1 b W 5 z M S 5 7 b W l u T W F 4 U G F y X z U w X z E 1 L n R 4 d C w w f S Z x d W 9 0 O y w m c X V v d D t T Z W N 0 a W 9 u M S 9 4 I C g 1 K S 9 B d X R v U m V t b 3 Z l Z E N v b H V t b n M x L n t t a W 5 N Y X h Q Y X J f N T B f M T Y u d H h 0 L D F 9 J n F 1 b 3 Q 7 L C Z x d W 9 0 O 1 N l Y 3 R p b 2 4 x L 3 g g K D U p L 0 F 1 d G 9 S Z W 1 v d m V k Q 2 9 s d W 1 u c z E u e 2 1 p b k 1 h e F B h c l 8 1 M F 8 x N y 5 0 e H Q s M n 0 m c X V v d D s s J n F 1 b 3 Q 7 U 2 V j d G l v b j E v e C A o N S k v Q X V 0 b 1 J l b W 9 2 Z W R D b 2 x 1 b W 5 z M S 5 7 b W l u T W F 4 U G F y X z U w X z E 4 L n R 4 d C w z f S Z x d W 9 0 O y w m c X V v d D t T Z W N 0 a W 9 u M S 9 4 I C g 1 K S 9 B d X R v U m V t b 3 Z l Z E N v b H V t b n M x L n t t a W 5 N Y X h Q Y X J f N T B f M T k u d H h 0 L D R 9 J n F 1 b 3 Q 7 L C Z x d W 9 0 O 1 N l Y 3 R p b 2 4 x L 3 g g K D U p L 0 F 1 d G 9 S Z W 1 v d m V k Q 2 9 s d W 1 u c z E u e 2 1 p b k 1 h e F B h c l 8 1 M F 8 y M C 5 0 e H Q s N X 0 m c X V v d D s s J n F 1 b 3 Q 7 U 2 V j d G l v b j E v e C A o N S k v Q X V 0 b 1 J l b W 9 2 Z W R D b 2 x 1 b W 5 z M S 5 7 b W l u T W F 4 U G F y X z U w X z I x L n R 4 d C w 2 f S Z x d W 9 0 O y w m c X V v d D t T Z W N 0 a W 9 u M S 9 4 I C g 1 K S 9 B d X R v U m V t b 3 Z l Z E N v b H V t b n M x L n t t a W 5 N Y X h Q Y X J f N T B f M j I u d H h 0 L D d 9 J n F 1 b 3 Q 7 L C Z x d W 9 0 O 1 N l Y 3 R p b 2 4 x L 3 g g K D U p L 0 F 1 d G 9 S Z W 1 v d m V k Q 2 9 s d W 1 u c z E u e 2 1 p b k 1 h e F B h c l 8 1 M F 8 y M y 5 0 e H Q s O H 0 m c X V v d D s s J n F 1 b 3 Q 7 U 2 V j d G l v b j E v e C A o N S k v Q X V 0 b 1 J l b W 9 2 Z W R D b 2 x 1 b W 5 z M S 5 7 b W l u T W F 4 U G F y X z U w X z I 0 L n R 4 d C w 5 f S Z x d W 9 0 O y w m c X V v d D t T Z W N 0 a W 9 u M S 9 4 I C g 1 K S 9 B d X R v U m V t b 3 Z l Z E N v b H V t b n M x L n t t a W 5 N Y X h Q Y X J f N T B f M j U u d H h 0 L D E w f S Z x d W 9 0 O y w m c X V v d D t T Z W N 0 a W 9 u M S 9 4 I C g 1 K S 9 B d X R v U m V t b 3 Z l Z E N v b H V t b n M x L n t t a W 5 N Y X h Q Y X J f N T B f M j Y u d H h 0 L D E x f S Z x d W 9 0 O y w m c X V v d D t T Z W N 0 a W 9 u M S 9 4 I C g 1 K S 9 B d X R v U m V t b 3 Z l Z E N v b H V t b n M x L n t t a W 5 N Y X h Q Y X J f N T B f M j c u d H h 0 L D E y f S Z x d W 9 0 O y w m c X V v d D t T Z W N 0 a W 9 u M S 9 4 I C g 1 K S 9 B d X R v U m V t b 3 Z l Z E N v b H V t b n M x L n t t a W 5 N Y X h Q Y X J f N T B f M j g u d H h 0 L D E z f S Z x d W 9 0 O y w m c X V v d D t T Z W N 0 a W 9 u M S 9 4 I C g 1 K S 9 B d X R v U m V t b 3 Z l Z E N v b H V t b n M x L n t t a W 5 N Y X h Q Y X J f N T B f M j k u d H h 0 L D E 0 f S Z x d W 9 0 O y w m c X V v d D t T Z W N 0 a W 9 u M S 9 4 I C g 1 K S 9 B d X R v U m V t b 3 Z l Z E N v b H V t b n M x L n t t a W 5 N Y X h Q Y X J f N T B f M z A u d H h 0 L D E 1 f S Z x d W 9 0 O y w m c X V v d D t T Z W N 0 a W 9 u M S 9 4 I C g 1 K S 9 B d X R v U m V t b 3 Z l Z E N v b H V t b n M x L n t t b 2 5 0 Z V B h c l 8 1 M F 8 x N S 5 0 e H Q s M T Z 9 J n F 1 b 3 Q 7 L C Z x d W 9 0 O 1 N l Y 3 R p b 2 4 x L 3 g g K D U p L 0 F 1 d G 9 S Z W 1 v d m V k Q 2 9 s d W 1 u c z E u e 2 1 v b n R l U G F y X z U w X z E 2 L n R 4 d C w x N 3 0 m c X V v d D s s J n F 1 b 3 Q 7 U 2 V j d G l v b j E v e C A o N S k v Q X V 0 b 1 J l b W 9 2 Z W R D b 2 x 1 b W 5 z M S 5 7 b W 9 u d G V Q Y X J f N T B f M T c u d H h 0 L D E 4 f S Z x d W 9 0 O y w m c X V v d D t T Z W N 0 a W 9 u M S 9 4 I C g 1 K S 9 B d X R v U m V t b 3 Z l Z E N v b H V t b n M x L n t t b 2 5 0 Z V B h c l 8 1 M F 8 x O C 5 0 e H Q s M T l 9 J n F 1 b 3 Q 7 L C Z x d W 9 0 O 1 N l Y 3 R p b 2 4 x L 3 g g K D U p L 0 F 1 d G 9 S Z W 1 v d m V k Q 2 9 s d W 1 u c z E u e 2 1 v b n R l U G F y X z U w X z E 5 L n R 4 d C w y M H 0 m c X V v d D s s J n F 1 b 3 Q 7 U 2 V j d G l v b j E v e C A o N S k v Q X V 0 b 1 J l b W 9 2 Z W R D b 2 x 1 b W 5 z M S 5 7 b W 9 u d G V Q Y X J f N T B f M j A u d H h 0 L D I x f S Z x d W 9 0 O y w m c X V v d D t T Z W N 0 a W 9 u M S 9 4 I C g 1 K S 9 B d X R v U m V t b 3 Z l Z E N v b H V t b n M x L n t t b 2 5 0 Z V B h c l 8 1 M F 8 y M S 5 0 e H Q s M j J 9 J n F 1 b 3 Q 7 L C Z x d W 9 0 O 1 N l Y 3 R p b 2 4 x L 3 g g K D U p L 0 F 1 d G 9 S Z W 1 v d m V k Q 2 9 s d W 1 u c z E u e 2 1 v b n R l U G F y X z U w X z I y L n R 4 d C w y M 3 0 m c X V v d D s s J n F 1 b 3 Q 7 U 2 V j d G l v b j E v e C A o N S k v Q X V 0 b 1 J l b W 9 2 Z W R D b 2 x 1 b W 5 z M S 5 7 b W 9 u d G V Q Y X J f N T B f M j M u d H h 0 L D I 0 f S Z x d W 9 0 O y w m c X V v d D t T Z W N 0 a W 9 u M S 9 4 I C g 1 K S 9 B d X R v U m V t b 3 Z l Z E N v b H V t b n M x L n t t b 2 5 0 Z V B h c l 8 1 M F 8 y N C 5 0 e H Q s M j V 9 J n F 1 b 3 Q 7 L C Z x d W 9 0 O 1 N l Y 3 R p b 2 4 x L 3 g g K D U p L 0 F 1 d G 9 S Z W 1 v d m V k Q 2 9 s d W 1 u c z E u e 2 1 v b n R l U G F y X z U w X z I 1 L n R 4 d C w y N n 0 m c X V v d D s s J n F 1 b 3 Q 7 U 2 V j d G l v b j E v e C A o N S k v Q X V 0 b 1 J l b W 9 2 Z W R D b 2 x 1 b W 5 z M S 5 7 b W 9 u d G V Q Y X J f N T B f M j Y u d H h 0 L D I 3 f S Z x d W 9 0 O y w m c X V v d D t T Z W N 0 a W 9 u M S 9 4 I C g 1 K S 9 B d X R v U m V t b 3 Z l Z E N v b H V t b n M x L n t t b 2 5 0 Z V B h c l 8 1 M F 8 y N y 5 0 e H Q s M j h 9 J n F 1 b 3 Q 7 L C Z x d W 9 0 O 1 N l Y 3 R p b 2 4 x L 3 g g K D U p L 0 F 1 d G 9 S Z W 1 v d m V k Q 2 9 s d W 1 u c z E u e 2 1 v b n R l U G F y X z U w X z I 4 L n R 4 d C w y O X 0 m c X V v d D s s J n F 1 b 3 Q 7 U 2 V j d G l v b j E v e C A o N S k v Q X V 0 b 1 J l b W 9 2 Z W R D b 2 x 1 b W 5 z M S 5 7 b W 9 u d G V Q Y X J f N T B f M j k u d H h 0 L D M w f S Z x d W 9 0 O y w m c X V v d D t T Z W N 0 a W 9 u M S 9 4 I C g 1 K S 9 B d X R v U m V t b 3 Z l Z E N v b H V t b n M x L n t t b 2 5 0 Z V B h c l 8 1 M F 8 z M C 5 0 e H Q s M z F 9 J n F 1 b 3 Q 7 X S w m c X V v d D t D b 2 x 1 b W 5 D b 3 V u d C Z x d W 9 0 O z o z M i w m c X V v d D t L Z X l D b 2 x 1 b W 5 O Y W 1 l c y Z x d W 9 0 O z p b X S w m c X V v d D t D b 2 x 1 b W 5 J Z G V u d G l 0 a W V z J n F 1 b 3 Q 7 O l s m c X V v d D t T Z W N 0 a W 9 u M S 9 4 I C g 1 K S 9 B d X R v U m V t b 3 Z l Z E N v b H V t b n M x L n t t a W 5 N Y X h Q Y X J f N T B f M T U u d H h 0 L D B 9 J n F 1 b 3 Q 7 L C Z x d W 9 0 O 1 N l Y 3 R p b 2 4 x L 3 g g K D U p L 0 F 1 d G 9 S Z W 1 v d m V k Q 2 9 s d W 1 u c z E u e 2 1 p b k 1 h e F B h c l 8 1 M F 8 x N i 5 0 e H Q s M X 0 m c X V v d D s s J n F 1 b 3 Q 7 U 2 V j d G l v b j E v e C A o N S k v Q X V 0 b 1 J l b W 9 2 Z W R D b 2 x 1 b W 5 z M S 5 7 b W l u T W F 4 U G F y X z U w X z E 3 L n R 4 d C w y f S Z x d W 9 0 O y w m c X V v d D t T Z W N 0 a W 9 u M S 9 4 I C g 1 K S 9 B d X R v U m V t b 3 Z l Z E N v b H V t b n M x L n t t a W 5 N Y X h Q Y X J f N T B f M T g u d H h 0 L D N 9 J n F 1 b 3 Q 7 L C Z x d W 9 0 O 1 N l Y 3 R p b 2 4 x L 3 g g K D U p L 0 F 1 d G 9 S Z W 1 v d m V k Q 2 9 s d W 1 u c z E u e 2 1 p b k 1 h e F B h c l 8 1 M F 8 x O S 5 0 e H Q s N H 0 m c X V v d D s s J n F 1 b 3 Q 7 U 2 V j d G l v b j E v e C A o N S k v Q X V 0 b 1 J l b W 9 2 Z W R D b 2 x 1 b W 5 z M S 5 7 b W l u T W F 4 U G F y X z U w X z I w L n R 4 d C w 1 f S Z x d W 9 0 O y w m c X V v d D t T Z W N 0 a W 9 u M S 9 4 I C g 1 K S 9 B d X R v U m V t b 3 Z l Z E N v b H V t b n M x L n t t a W 5 N Y X h Q Y X J f N T B f M j E u d H h 0 L D Z 9 J n F 1 b 3 Q 7 L C Z x d W 9 0 O 1 N l Y 3 R p b 2 4 x L 3 g g K D U p L 0 F 1 d G 9 S Z W 1 v d m V k Q 2 9 s d W 1 u c z E u e 2 1 p b k 1 h e F B h c l 8 1 M F 8 y M i 5 0 e H Q s N 3 0 m c X V v d D s s J n F 1 b 3 Q 7 U 2 V j d G l v b j E v e C A o N S k v Q X V 0 b 1 J l b W 9 2 Z W R D b 2 x 1 b W 5 z M S 5 7 b W l u T W F 4 U G F y X z U w X z I z L n R 4 d C w 4 f S Z x d W 9 0 O y w m c X V v d D t T Z W N 0 a W 9 u M S 9 4 I C g 1 K S 9 B d X R v U m V t b 3 Z l Z E N v b H V t b n M x L n t t a W 5 N Y X h Q Y X J f N T B f M j Q u d H h 0 L D l 9 J n F 1 b 3 Q 7 L C Z x d W 9 0 O 1 N l Y 3 R p b 2 4 x L 3 g g K D U p L 0 F 1 d G 9 S Z W 1 v d m V k Q 2 9 s d W 1 u c z E u e 2 1 p b k 1 h e F B h c l 8 1 M F 8 y N S 5 0 e H Q s M T B 9 J n F 1 b 3 Q 7 L C Z x d W 9 0 O 1 N l Y 3 R p b 2 4 x L 3 g g K D U p L 0 F 1 d G 9 S Z W 1 v d m V k Q 2 9 s d W 1 u c z E u e 2 1 p b k 1 h e F B h c l 8 1 M F 8 y N i 5 0 e H Q s M T F 9 J n F 1 b 3 Q 7 L C Z x d W 9 0 O 1 N l Y 3 R p b 2 4 x L 3 g g K D U p L 0 F 1 d G 9 S Z W 1 v d m V k Q 2 9 s d W 1 u c z E u e 2 1 p b k 1 h e F B h c l 8 1 M F 8 y N y 5 0 e H Q s M T J 9 J n F 1 b 3 Q 7 L C Z x d W 9 0 O 1 N l Y 3 R p b 2 4 x L 3 g g K D U p L 0 F 1 d G 9 S Z W 1 v d m V k Q 2 9 s d W 1 u c z E u e 2 1 p b k 1 h e F B h c l 8 1 M F 8 y O C 5 0 e H Q s M T N 9 J n F 1 b 3 Q 7 L C Z x d W 9 0 O 1 N l Y 3 R p b 2 4 x L 3 g g K D U p L 0 F 1 d G 9 S Z W 1 v d m V k Q 2 9 s d W 1 u c z E u e 2 1 p b k 1 h e F B h c l 8 1 M F 8 y O S 5 0 e H Q s M T R 9 J n F 1 b 3 Q 7 L C Z x d W 9 0 O 1 N l Y 3 R p b 2 4 x L 3 g g K D U p L 0 F 1 d G 9 S Z W 1 v d m V k Q 2 9 s d W 1 u c z E u e 2 1 p b k 1 h e F B h c l 8 1 M F 8 z M C 5 0 e H Q s M T V 9 J n F 1 b 3 Q 7 L C Z x d W 9 0 O 1 N l Y 3 R p b 2 4 x L 3 g g K D U p L 0 F 1 d G 9 S Z W 1 v d m V k Q 2 9 s d W 1 u c z E u e 2 1 v b n R l U G F y X z U w X z E 1 L n R 4 d C w x N n 0 m c X V v d D s s J n F 1 b 3 Q 7 U 2 V j d G l v b j E v e C A o N S k v Q X V 0 b 1 J l b W 9 2 Z W R D b 2 x 1 b W 5 z M S 5 7 b W 9 u d G V Q Y X J f N T B f M T Y u d H h 0 L D E 3 f S Z x d W 9 0 O y w m c X V v d D t T Z W N 0 a W 9 u M S 9 4 I C g 1 K S 9 B d X R v U m V t b 3 Z l Z E N v b H V t b n M x L n t t b 2 5 0 Z V B h c l 8 1 M F 8 x N y 5 0 e H Q s M T h 9 J n F 1 b 3 Q 7 L C Z x d W 9 0 O 1 N l Y 3 R p b 2 4 x L 3 g g K D U p L 0 F 1 d G 9 S Z W 1 v d m V k Q 2 9 s d W 1 u c z E u e 2 1 v b n R l U G F y X z U w X z E 4 L n R 4 d C w x O X 0 m c X V v d D s s J n F 1 b 3 Q 7 U 2 V j d G l v b j E v e C A o N S k v Q X V 0 b 1 J l b W 9 2 Z W R D b 2 x 1 b W 5 z M S 5 7 b W 9 u d G V Q Y X J f N T B f M T k u d H h 0 L D I w f S Z x d W 9 0 O y w m c X V v d D t T Z W N 0 a W 9 u M S 9 4 I C g 1 K S 9 B d X R v U m V t b 3 Z l Z E N v b H V t b n M x L n t t b 2 5 0 Z V B h c l 8 1 M F 8 y M C 5 0 e H Q s M j F 9 J n F 1 b 3 Q 7 L C Z x d W 9 0 O 1 N l Y 3 R p b 2 4 x L 3 g g K D U p L 0 F 1 d G 9 S Z W 1 v d m V k Q 2 9 s d W 1 u c z E u e 2 1 v b n R l U G F y X z U w X z I x L n R 4 d C w y M n 0 m c X V v d D s s J n F 1 b 3 Q 7 U 2 V j d G l v b j E v e C A o N S k v Q X V 0 b 1 J l b W 9 2 Z W R D b 2 x 1 b W 5 z M S 5 7 b W 9 u d G V Q Y X J f N T B f M j I u d H h 0 L D I z f S Z x d W 9 0 O y w m c X V v d D t T Z W N 0 a W 9 u M S 9 4 I C g 1 K S 9 B d X R v U m V t b 3 Z l Z E N v b H V t b n M x L n t t b 2 5 0 Z V B h c l 8 1 M F 8 y M y 5 0 e H Q s M j R 9 J n F 1 b 3 Q 7 L C Z x d W 9 0 O 1 N l Y 3 R p b 2 4 x L 3 g g K D U p L 0 F 1 d G 9 S Z W 1 v d m V k Q 2 9 s d W 1 u c z E u e 2 1 v b n R l U G F y X z U w X z I 0 L n R 4 d C w y N X 0 m c X V v d D s s J n F 1 b 3 Q 7 U 2 V j d G l v b j E v e C A o N S k v Q X V 0 b 1 J l b W 9 2 Z W R D b 2 x 1 b W 5 z M S 5 7 b W 9 u d G V Q Y X J f N T B f M j U u d H h 0 L D I 2 f S Z x d W 9 0 O y w m c X V v d D t T Z W N 0 a W 9 u M S 9 4 I C g 1 K S 9 B d X R v U m V t b 3 Z l Z E N v b H V t b n M x L n t t b 2 5 0 Z V B h c l 8 1 M F 8 y N i 5 0 e H Q s M j d 9 J n F 1 b 3 Q 7 L C Z x d W 9 0 O 1 N l Y 3 R p b 2 4 x L 3 g g K D U p L 0 F 1 d G 9 S Z W 1 v d m V k Q 2 9 s d W 1 u c z E u e 2 1 v b n R l U G F y X z U w X z I 3 L n R 4 d C w y O H 0 m c X V v d D s s J n F 1 b 3 Q 7 U 2 V j d G l v b j E v e C A o N S k v Q X V 0 b 1 J l b W 9 2 Z W R D b 2 x 1 b W 5 z M S 5 7 b W 9 u d G V Q Y X J f N T B f M j g u d H h 0 L D I 5 f S Z x d W 9 0 O y w m c X V v d D t T Z W N 0 a W 9 u M S 9 4 I C g 1 K S 9 B d X R v U m V t b 3 Z l Z E N v b H V t b n M x L n t t b 2 5 0 Z V B h c l 8 1 M F 8 y O S 5 0 e H Q s M z B 9 J n F 1 b 3 Q 7 L C Z x d W 9 0 O 1 N l Y 3 R p b 2 4 x L 3 g g K D U p L 0 F 1 d G 9 S Z W 1 v d m V k Q 2 9 s d W 1 u c z E u e 2 1 v b n R l U G F y X z U w X z M w L n R 4 d C w z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g l M j A o N S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C U y M C g 1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g l M j A o N S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C U y M C g 2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h f X z Y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E t M j h U M T g 6 M D Q 6 M D U u O T g 1 O D k 1 N V o i I C 8 + P E V u d H J 5 I F R 5 c G U 9 I k Z p b G x D b 2 x 1 b W 5 U e X B l c y I g V m F s d W U 9 I n N C U V V G Q l F V R k J R V U Z C U V V G Q l F V R k J R V U Z C U V V G Q l F V R k J R V U Z C U V V G Q l F V P S I g L z 4 8 R W 5 0 c n k g V H l w Z T 0 i R m l s b E N v b H V t b k 5 h b W V z I i B W Y W x 1 Z T 0 i c 1 s m c X V v d D t t a W 5 N Y X h Q Y X J f N T B f M T U u d H h 0 J n F 1 b 3 Q 7 L C Z x d W 9 0 O 2 1 p b k 1 h e F B h c l 8 1 M F 8 x N i 5 0 e H Q m c X V v d D s s J n F 1 b 3 Q 7 b W l u T W F 4 U G F y X z U w X z E 3 L n R 4 d C Z x d W 9 0 O y w m c X V v d D t t a W 5 N Y X h Q Y X J f N T B f M T g u d H h 0 J n F 1 b 3 Q 7 L C Z x d W 9 0 O 2 1 p b k 1 h e F B h c l 8 1 M F 8 x O S 5 0 e H Q m c X V v d D s s J n F 1 b 3 Q 7 b W l u T W F 4 U G F y X z U w X z I w L n R 4 d C Z x d W 9 0 O y w m c X V v d D t t a W 5 N Y X h Q Y X J f N T B f M j E u d H h 0 J n F 1 b 3 Q 7 L C Z x d W 9 0 O 2 1 p b k 1 h e F B h c l 8 1 M F 8 y M i 5 0 e H Q m c X V v d D s s J n F 1 b 3 Q 7 b W l u T W F 4 U G F y X z U w X z I z L n R 4 d C Z x d W 9 0 O y w m c X V v d D t t a W 5 N Y X h Q Y X J f N T B f M j Q u d H h 0 J n F 1 b 3 Q 7 L C Z x d W 9 0 O 2 1 p b k 1 h e F B h c l 8 1 M F 8 y N S 5 0 e H Q m c X V v d D s s J n F 1 b 3 Q 7 b W l u T W F 4 U G F y X z U w X z I 2 L n R 4 d C Z x d W 9 0 O y w m c X V v d D t t a W 5 N Y X h Q Y X J f N T B f M j c u d H h 0 J n F 1 b 3 Q 7 L C Z x d W 9 0 O 2 1 p b k 1 h e F B h c l 8 1 M F 8 y O C 5 0 e H Q m c X V v d D s s J n F 1 b 3 Q 7 b W l u T W F 4 U G F y X z U w X z I 5 L n R 4 d C Z x d W 9 0 O y w m c X V v d D t t a W 5 N Y X h Q Y X J f N T B f M z A u d H h 0 J n F 1 b 3 Q 7 L C Z x d W 9 0 O 2 1 v b n R l U G F y X z U w X z E 1 L n R 4 d C Z x d W 9 0 O y w m c X V v d D t t b 2 5 0 Z V B h c l 8 1 M F 8 x N i 5 0 e H Q m c X V v d D s s J n F 1 b 3 Q 7 b W 9 u d G V Q Y X J f N T B f M T c u d H h 0 J n F 1 b 3 Q 7 L C Z x d W 9 0 O 2 1 v b n R l U G F y X z U w X z E 4 L n R 4 d C Z x d W 9 0 O y w m c X V v d D t t b 2 5 0 Z V B h c l 8 1 M F 8 x O S 5 0 e H Q m c X V v d D s s J n F 1 b 3 Q 7 b W 9 u d G V Q Y X J f N T B f M j A u d H h 0 J n F 1 b 3 Q 7 L C Z x d W 9 0 O 2 1 v b n R l U G F y X z U w X z I x L n R 4 d C Z x d W 9 0 O y w m c X V v d D t t b 2 5 0 Z V B h c l 8 1 M F 8 y M i 5 0 e H Q m c X V v d D s s J n F 1 b 3 Q 7 b W 9 u d G V Q Y X J f N T B f M j M u d H h 0 J n F 1 b 3 Q 7 L C Z x d W 9 0 O 2 1 v b n R l U G F y X z U w X z I 0 L n R 4 d C Z x d W 9 0 O y w m c X V v d D t t b 2 5 0 Z V B h c l 8 1 M F 8 y N S 5 0 e H Q m c X V v d D s s J n F 1 b 3 Q 7 b W 9 u d G V Q Y X J f N T B f M j Y u d H h 0 J n F 1 b 3 Q 7 L C Z x d W 9 0 O 2 1 v b n R l U G F y X z U w X z I 3 L n R 4 d C Z x d W 9 0 O y w m c X V v d D t t b 2 5 0 Z V B h c l 8 1 M F 8 y O C 5 0 e H Q m c X V v d D s s J n F 1 b 3 Q 7 b W 9 u d G V Q Y X J f N T B f M j k u d H h 0 J n F 1 b 3 Q 7 L C Z x d W 9 0 O 2 1 v b n R l U G F y X z U w X z M w L n R 4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4 I C g 2 K S 9 B d X R v U m V t b 3 Z l Z E N v b H V t b n M x L n t t a W 5 N Y X h Q Y X J f N T B f M T U u d H h 0 L D B 9 J n F 1 b 3 Q 7 L C Z x d W 9 0 O 1 N l Y 3 R p b 2 4 x L 3 g g K D Y p L 0 F 1 d G 9 S Z W 1 v d m V k Q 2 9 s d W 1 u c z E u e 2 1 p b k 1 h e F B h c l 8 1 M F 8 x N i 5 0 e H Q s M X 0 m c X V v d D s s J n F 1 b 3 Q 7 U 2 V j d G l v b j E v e C A o N i k v Q X V 0 b 1 J l b W 9 2 Z W R D b 2 x 1 b W 5 z M S 5 7 b W l u T W F 4 U G F y X z U w X z E 3 L n R 4 d C w y f S Z x d W 9 0 O y w m c X V v d D t T Z W N 0 a W 9 u M S 9 4 I C g 2 K S 9 B d X R v U m V t b 3 Z l Z E N v b H V t b n M x L n t t a W 5 N Y X h Q Y X J f N T B f M T g u d H h 0 L D N 9 J n F 1 b 3 Q 7 L C Z x d W 9 0 O 1 N l Y 3 R p b 2 4 x L 3 g g K D Y p L 0 F 1 d G 9 S Z W 1 v d m V k Q 2 9 s d W 1 u c z E u e 2 1 p b k 1 h e F B h c l 8 1 M F 8 x O S 5 0 e H Q s N H 0 m c X V v d D s s J n F 1 b 3 Q 7 U 2 V j d G l v b j E v e C A o N i k v Q X V 0 b 1 J l b W 9 2 Z W R D b 2 x 1 b W 5 z M S 5 7 b W l u T W F 4 U G F y X z U w X z I w L n R 4 d C w 1 f S Z x d W 9 0 O y w m c X V v d D t T Z W N 0 a W 9 u M S 9 4 I C g 2 K S 9 B d X R v U m V t b 3 Z l Z E N v b H V t b n M x L n t t a W 5 N Y X h Q Y X J f N T B f M j E u d H h 0 L D Z 9 J n F 1 b 3 Q 7 L C Z x d W 9 0 O 1 N l Y 3 R p b 2 4 x L 3 g g K D Y p L 0 F 1 d G 9 S Z W 1 v d m V k Q 2 9 s d W 1 u c z E u e 2 1 p b k 1 h e F B h c l 8 1 M F 8 y M i 5 0 e H Q s N 3 0 m c X V v d D s s J n F 1 b 3 Q 7 U 2 V j d G l v b j E v e C A o N i k v Q X V 0 b 1 J l b W 9 2 Z W R D b 2 x 1 b W 5 z M S 5 7 b W l u T W F 4 U G F y X z U w X z I z L n R 4 d C w 4 f S Z x d W 9 0 O y w m c X V v d D t T Z W N 0 a W 9 u M S 9 4 I C g 2 K S 9 B d X R v U m V t b 3 Z l Z E N v b H V t b n M x L n t t a W 5 N Y X h Q Y X J f N T B f M j Q u d H h 0 L D l 9 J n F 1 b 3 Q 7 L C Z x d W 9 0 O 1 N l Y 3 R p b 2 4 x L 3 g g K D Y p L 0 F 1 d G 9 S Z W 1 v d m V k Q 2 9 s d W 1 u c z E u e 2 1 p b k 1 h e F B h c l 8 1 M F 8 y N S 5 0 e H Q s M T B 9 J n F 1 b 3 Q 7 L C Z x d W 9 0 O 1 N l Y 3 R p b 2 4 x L 3 g g K D Y p L 0 F 1 d G 9 S Z W 1 v d m V k Q 2 9 s d W 1 u c z E u e 2 1 p b k 1 h e F B h c l 8 1 M F 8 y N i 5 0 e H Q s M T F 9 J n F 1 b 3 Q 7 L C Z x d W 9 0 O 1 N l Y 3 R p b 2 4 x L 3 g g K D Y p L 0 F 1 d G 9 S Z W 1 v d m V k Q 2 9 s d W 1 u c z E u e 2 1 p b k 1 h e F B h c l 8 1 M F 8 y N y 5 0 e H Q s M T J 9 J n F 1 b 3 Q 7 L C Z x d W 9 0 O 1 N l Y 3 R p b 2 4 x L 3 g g K D Y p L 0 F 1 d G 9 S Z W 1 v d m V k Q 2 9 s d W 1 u c z E u e 2 1 p b k 1 h e F B h c l 8 1 M F 8 y O C 5 0 e H Q s M T N 9 J n F 1 b 3 Q 7 L C Z x d W 9 0 O 1 N l Y 3 R p b 2 4 x L 3 g g K D Y p L 0 F 1 d G 9 S Z W 1 v d m V k Q 2 9 s d W 1 u c z E u e 2 1 p b k 1 h e F B h c l 8 1 M F 8 y O S 5 0 e H Q s M T R 9 J n F 1 b 3 Q 7 L C Z x d W 9 0 O 1 N l Y 3 R p b 2 4 x L 3 g g K D Y p L 0 F 1 d G 9 S Z W 1 v d m V k Q 2 9 s d W 1 u c z E u e 2 1 p b k 1 h e F B h c l 8 1 M F 8 z M C 5 0 e H Q s M T V 9 J n F 1 b 3 Q 7 L C Z x d W 9 0 O 1 N l Y 3 R p b 2 4 x L 3 g g K D Y p L 0 F 1 d G 9 S Z W 1 v d m V k Q 2 9 s d W 1 u c z E u e 2 1 v b n R l U G F y X z U w X z E 1 L n R 4 d C w x N n 0 m c X V v d D s s J n F 1 b 3 Q 7 U 2 V j d G l v b j E v e C A o N i k v Q X V 0 b 1 J l b W 9 2 Z W R D b 2 x 1 b W 5 z M S 5 7 b W 9 u d G V Q Y X J f N T B f M T Y u d H h 0 L D E 3 f S Z x d W 9 0 O y w m c X V v d D t T Z W N 0 a W 9 u M S 9 4 I C g 2 K S 9 B d X R v U m V t b 3 Z l Z E N v b H V t b n M x L n t t b 2 5 0 Z V B h c l 8 1 M F 8 x N y 5 0 e H Q s M T h 9 J n F 1 b 3 Q 7 L C Z x d W 9 0 O 1 N l Y 3 R p b 2 4 x L 3 g g K D Y p L 0 F 1 d G 9 S Z W 1 v d m V k Q 2 9 s d W 1 u c z E u e 2 1 v b n R l U G F y X z U w X z E 4 L n R 4 d C w x O X 0 m c X V v d D s s J n F 1 b 3 Q 7 U 2 V j d G l v b j E v e C A o N i k v Q X V 0 b 1 J l b W 9 2 Z W R D b 2 x 1 b W 5 z M S 5 7 b W 9 u d G V Q Y X J f N T B f M T k u d H h 0 L D I w f S Z x d W 9 0 O y w m c X V v d D t T Z W N 0 a W 9 u M S 9 4 I C g 2 K S 9 B d X R v U m V t b 3 Z l Z E N v b H V t b n M x L n t t b 2 5 0 Z V B h c l 8 1 M F 8 y M C 5 0 e H Q s M j F 9 J n F 1 b 3 Q 7 L C Z x d W 9 0 O 1 N l Y 3 R p b 2 4 x L 3 g g K D Y p L 0 F 1 d G 9 S Z W 1 v d m V k Q 2 9 s d W 1 u c z E u e 2 1 v b n R l U G F y X z U w X z I x L n R 4 d C w y M n 0 m c X V v d D s s J n F 1 b 3 Q 7 U 2 V j d G l v b j E v e C A o N i k v Q X V 0 b 1 J l b W 9 2 Z W R D b 2 x 1 b W 5 z M S 5 7 b W 9 u d G V Q Y X J f N T B f M j I u d H h 0 L D I z f S Z x d W 9 0 O y w m c X V v d D t T Z W N 0 a W 9 u M S 9 4 I C g 2 K S 9 B d X R v U m V t b 3 Z l Z E N v b H V t b n M x L n t t b 2 5 0 Z V B h c l 8 1 M F 8 y M y 5 0 e H Q s M j R 9 J n F 1 b 3 Q 7 L C Z x d W 9 0 O 1 N l Y 3 R p b 2 4 x L 3 g g K D Y p L 0 F 1 d G 9 S Z W 1 v d m V k Q 2 9 s d W 1 u c z E u e 2 1 v b n R l U G F y X z U w X z I 0 L n R 4 d C w y N X 0 m c X V v d D s s J n F 1 b 3 Q 7 U 2 V j d G l v b j E v e C A o N i k v Q X V 0 b 1 J l b W 9 2 Z W R D b 2 x 1 b W 5 z M S 5 7 b W 9 u d G V Q Y X J f N T B f M j U u d H h 0 L D I 2 f S Z x d W 9 0 O y w m c X V v d D t T Z W N 0 a W 9 u M S 9 4 I C g 2 K S 9 B d X R v U m V t b 3 Z l Z E N v b H V t b n M x L n t t b 2 5 0 Z V B h c l 8 1 M F 8 y N i 5 0 e H Q s M j d 9 J n F 1 b 3 Q 7 L C Z x d W 9 0 O 1 N l Y 3 R p b 2 4 x L 3 g g K D Y p L 0 F 1 d G 9 S Z W 1 v d m V k Q 2 9 s d W 1 u c z E u e 2 1 v b n R l U G F y X z U w X z I 3 L n R 4 d C w y O H 0 m c X V v d D s s J n F 1 b 3 Q 7 U 2 V j d G l v b j E v e C A o N i k v Q X V 0 b 1 J l b W 9 2 Z W R D b 2 x 1 b W 5 z M S 5 7 b W 9 u d G V Q Y X J f N T B f M j g u d H h 0 L D I 5 f S Z x d W 9 0 O y w m c X V v d D t T Z W N 0 a W 9 u M S 9 4 I C g 2 K S 9 B d X R v U m V t b 3 Z l Z E N v b H V t b n M x L n t t b 2 5 0 Z V B h c l 8 1 M F 8 y O S 5 0 e H Q s M z B 9 J n F 1 b 3 Q 7 L C Z x d W 9 0 O 1 N l Y 3 R p b 2 4 x L 3 g g K D Y p L 0 F 1 d G 9 S Z W 1 v d m V k Q 2 9 s d W 1 u c z E u e 2 1 v b n R l U G F y X z U w X z M w L n R 4 d C w z M X 0 m c X V v d D t d L C Z x d W 9 0 O 0 N v b H V t b k N v d W 5 0 J n F 1 b 3 Q 7 O j M y L C Z x d W 9 0 O 0 t l e U N v b H V t b k 5 h b W V z J n F 1 b 3 Q 7 O l t d L C Z x d W 9 0 O 0 N v b H V t b k l k Z W 5 0 a X R p Z X M m c X V v d D s 6 W y Z x d W 9 0 O 1 N l Y 3 R p b 2 4 x L 3 g g K D Y p L 0 F 1 d G 9 S Z W 1 v d m V k Q 2 9 s d W 1 u c z E u e 2 1 p b k 1 h e F B h c l 8 1 M F 8 x N S 5 0 e H Q s M H 0 m c X V v d D s s J n F 1 b 3 Q 7 U 2 V j d G l v b j E v e C A o N i k v Q X V 0 b 1 J l b W 9 2 Z W R D b 2 x 1 b W 5 z M S 5 7 b W l u T W F 4 U G F y X z U w X z E 2 L n R 4 d C w x f S Z x d W 9 0 O y w m c X V v d D t T Z W N 0 a W 9 u M S 9 4 I C g 2 K S 9 B d X R v U m V t b 3 Z l Z E N v b H V t b n M x L n t t a W 5 N Y X h Q Y X J f N T B f M T c u d H h 0 L D J 9 J n F 1 b 3 Q 7 L C Z x d W 9 0 O 1 N l Y 3 R p b 2 4 x L 3 g g K D Y p L 0 F 1 d G 9 S Z W 1 v d m V k Q 2 9 s d W 1 u c z E u e 2 1 p b k 1 h e F B h c l 8 1 M F 8 x O C 5 0 e H Q s M 3 0 m c X V v d D s s J n F 1 b 3 Q 7 U 2 V j d G l v b j E v e C A o N i k v Q X V 0 b 1 J l b W 9 2 Z W R D b 2 x 1 b W 5 z M S 5 7 b W l u T W F 4 U G F y X z U w X z E 5 L n R 4 d C w 0 f S Z x d W 9 0 O y w m c X V v d D t T Z W N 0 a W 9 u M S 9 4 I C g 2 K S 9 B d X R v U m V t b 3 Z l Z E N v b H V t b n M x L n t t a W 5 N Y X h Q Y X J f N T B f M j A u d H h 0 L D V 9 J n F 1 b 3 Q 7 L C Z x d W 9 0 O 1 N l Y 3 R p b 2 4 x L 3 g g K D Y p L 0 F 1 d G 9 S Z W 1 v d m V k Q 2 9 s d W 1 u c z E u e 2 1 p b k 1 h e F B h c l 8 1 M F 8 y M S 5 0 e H Q s N n 0 m c X V v d D s s J n F 1 b 3 Q 7 U 2 V j d G l v b j E v e C A o N i k v Q X V 0 b 1 J l b W 9 2 Z W R D b 2 x 1 b W 5 z M S 5 7 b W l u T W F 4 U G F y X z U w X z I y L n R 4 d C w 3 f S Z x d W 9 0 O y w m c X V v d D t T Z W N 0 a W 9 u M S 9 4 I C g 2 K S 9 B d X R v U m V t b 3 Z l Z E N v b H V t b n M x L n t t a W 5 N Y X h Q Y X J f N T B f M j M u d H h 0 L D h 9 J n F 1 b 3 Q 7 L C Z x d W 9 0 O 1 N l Y 3 R p b 2 4 x L 3 g g K D Y p L 0 F 1 d G 9 S Z W 1 v d m V k Q 2 9 s d W 1 u c z E u e 2 1 p b k 1 h e F B h c l 8 1 M F 8 y N C 5 0 e H Q s O X 0 m c X V v d D s s J n F 1 b 3 Q 7 U 2 V j d G l v b j E v e C A o N i k v Q X V 0 b 1 J l b W 9 2 Z W R D b 2 x 1 b W 5 z M S 5 7 b W l u T W F 4 U G F y X z U w X z I 1 L n R 4 d C w x M H 0 m c X V v d D s s J n F 1 b 3 Q 7 U 2 V j d G l v b j E v e C A o N i k v Q X V 0 b 1 J l b W 9 2 Z W R D b 2 x 1 b W 5 z M S 5 7 b W l u T W F 4 U G F y X z U w X z I 2 L n R 4 d C w x M X 0 m c X V v d D s s J n F 1 b 3 Q 7 U 2 V j d G l v b j E v e C A o N i k v Q X V 0 b 1 J l b W 9 2 Z W R D b 2 x 1 b W 5 z M S 5 7 b W l u T W F 4 U G F y X z U w X z I 3 L n R 4 d C w x M n 0 m c X V v d D s s J n F 1 b 3 Q 7 U 2 V j d G l v b j E v e C A o N i k v Q X V 0 b 1 J l b W 9 2 Z W R D b 2 x 1 b W 5 z M S 5 7 b W l u T W F 4 U G F y X z U w X z I 4 L n R 4 d C w x M 3 0 m c X V v d D s s J n F 1 b 3 Q 7 U 2 V j d G l v b j E v e C A o N i k v Q X V 0 b 1 J l b W 9 2 Z W R D b 2 x 1 b W 5 z M S 5 7 b W l u T W F 4 U G F y X z U w X z I 5 L n R 4 d C w x N H 0 m c X V v d D s s J n F 1 b 3 Q 7 U 2 V j d G l v b j E v e C A o N i k v Q X V 0 b 1 J l b W 9 2 Z W R D b 2 x 1 b W 5 z M S 5 7 b W l u T W F 4 U G F y X z U w X z M w L n R 4 d C w x N X 0 m c X V v d D s s J n F 1 b 3 Q 7 U 2 V j d G l v b j E v e C A o N i k v Q X V 0 b 1 J l b W 9 2 Z W R D b 2 x 1 b W 5 z M S 5 7 b W 9 u d G V Q Y X J f N T B f M T U u d H h 0 L D E 2 f S Z x d W 9 0 O y w m c X V v d D t T Z W N 0 a W 9 u M S 9 4 I C g 2 K S 9 B d X R v U m V t b 3 Z l Z E N v b H V t b n M x L n t t b 2 5 0 Z V B h c l 8 1 M F 8 x N i 5 0 e H Q s M T d 9 J n F 1 b 3 Q 7 L C Z x d W 9 0 O 1 N l Y 3 R p b 2 4 x L 3 g g K D Y p L 0 F 1 d G 9 S Z W 1 v d m V k Q 2 9 s d W 1 u c z E u e 2 1 v b n R l U G F y X z U w X z E 3 L n R 4 d C w x O H 0 m c X V v d D s s J n F 1 b 3 Q 7 U 2 V j d G l v b j E v e C A o N i k v Q X V 0 b 1 J l b W 9 2 Z W R D b 2 x 1 b W 5 z M S 5 7 b W 9 u d G V Q Y X J f N T B f M T g u d H h 0 L D E 5 f S Z x d W 9 0 O y w m c X V v d D t T Z W N 0 a W 9 u M S 9 4 I C g 2 K S 9 B d X R v U m V t b 3 Z l Z E N v b H V t b n M x L n t t b 2 5 0 Z V B h c l 8 1 M F 8 x O S 5 0 e H Q s M j B 9 J n F 1 b 3 Q 7 L C Z x d W 9 0 O 1 N l Y 3 R p b 2 4 x L 3 g g K D Y p L 0 F 1 d G 9 S Z W 1 v d m V k Q 2 9 s d W 1 u c z E u e 2 1 v b n R l U G F y X z U w X z I w L n R 4 d C w y M X 0 m c X V v d D s s J n F 1 b 3 Q 7 U 2 V j d G l v b j E v e C A o N i k v Q X V 0 b 1 J l b W 9 2 Z W R D b 2 x 1 b W 5 z M S 5 7 b W 9 u d G V Q Y X J f N T B f M j E u d H h 0 L D I y f S Z x d W 9 0 O y w m c X V v d D t T Z W N 0 a W 9 u M S 9 4 I C g 2 K S 9 B d X R v U m V t b 3 Z l Z E N v b H V t b n M x L n t t b 2 5 0 Z V B h c l 8 1 M F 8 y M i 5 0 e H Q s M j N 9 J n F 1 b 3 Q 7 L C Z x d W 9 0 O 1 N l Y 3 R p b 2 4 x L 3 g g K D Y p L 0 F 1 d G 9 S Z W 1 v d m V k Q 2 9 s d W 1 u c z E u e 2 1 v b n R l U G F y X z U w X z I z L n R 4 d C w y N H 0 m c X V v d D s s J n F 1 b 3 Q 7 U 2 V j d G l v b j E v e C A o N i k v Q X V 0 b 1 J l b W 9 2 Z W R D b 2 x 1 b W 5 z M S 5 7 b W 9 u d G V Q Y X J f N T B f M j Q u d H h 0 L D I 1 f S Z x d W 9 0 O y w m c X V v d D t T Z W N 0 a W 9 u M S 9 4 I C g 2 K S 9 B d X R v U m V t b 3 Z l Z E N v b H V t b n M x L n t t b 2 5 0 Z V B h c l 8 1 M F 8 y N S 5 0 e H Q s M j Z 9 J n F 1 b 3 Q 7 L C Z x d W 9 0 O 1 N l Y 3 R p b 2 4 x L 3 g g K D Y p L 0 F 1 d G 9 S Z W 1 v d m V k Q 2 9 s d W 1 u c z E u e 2 1 v b n R l U G F y X z U w X z I 2 L n R 4 d C w y N 3 0 m c X V v d D s s J n F 1 b 3 Q 7 U 2 V j d G l v b j E v e C A o N i k v Q X V 0 b 1 J l b W 9 2 Z W R D b 2 x 1 b W 5 z M S 5 7 b W 9 u d G V Q Y X J f N T B f M j c u d H h 0 L D I 4 f S Z x d W 9 0 O y w m c X V v d D t T Z W N 0 a W 9 u M S 9 4 I C g 2 K S 9 B d X R v U m V t b 3 Z l Z E N v b H V t b n M x L n t t b 2 5 0 Z V B h c l 8 1 M F 8 y O C 5 0 e H Q s M j l 9 J n F 1 b 3 Q 7 L C Z x d W 9 0 O 1 N l Y 3 R p b 2 4 x L 3 g g K D Y p L 0 F 1 d G 9 S Z W 1 v d m V k Q 2 9 s d W 1 u c z E u e 2 1 v b n R l U G F y X z U w X z I 5 L n R 4 d C w z M H 0 m c X V v d D s s J n F 1 b 3 Q 7 U 2 V j d G l v b j E v e C A o N i k v Q X V 0 b 1 J l b W 9 2 Z W R D b 2 x 1 b W 5 z M S 5 7 b W 9 u d G V Q Y X J f N T B f M z A u d H h 0 L D M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C U y M C g 2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4 J T I w K D Y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C U y M C g 2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4 J T I w K D c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E t M j h U M T g 6 M D Q 6 N T k u O D g 2 M D Y w O F o i I C 8 + P E V u d H J 5 I F R 5 c G U 9 I k Z p b G x D b 2 x 1 b W 5 U e X B l c y I g V m F s d W U 9 I n N C U V V G Q l F V R k J R V U Z C U V V G Q l F V R k J R V U Z C U V V G Q l F V R k J R V U Z C U V V G Q l F V R k J R V U Z C U V V G Q l F V R k J R V U Z C U V V G Q l F V R k J R V U Y i I C 8 + P E V u d H J 5 I F R 5 c G U 9 I k Z p b G x D b 2 x 1 b W 5 O Y W 1 l c y I g V m F s d W U 9 I n N b J n F 1 b 3 Q 7 b W l u T W F 4 U G F y X z U w X z E 1 L n R 4 d C Z x d W 9 0 O y w m c X V v d D t t a W 5 N Y X h Q Y X J f N T B f M T Y u d H h 0 J n F 1 b 3 Q 7 L C Z x d W 9 0 O 2 1 p b k 1 h e F B h c l 8 1 M F 8 x N y 5 0 e H Q m c X V v d D s s J n F 1 b 3 Q 7 b W l u T W F 4 U G F y X z U w X z E 4 L n R 4 d C Z x d W 9 0 O y w m c X V v d D t t a W 5 N Y X h Q Y X J f N T B f M T k u d H h 0 J n F 1 b 3 Q 7 L C Z x d W 9 0 O 2 1 p b k 1 h e F B h c l 8 1 M F 8 y M C 5 0 e H Q m c X V v d D s s J n F 1 b 3 Q 7 b W l u T W F 4 U G F y X z U w X z I x L n R 4 d C Z x d W 9 0 O y w m c X V v d D t t a W 5 N Y X h Q Y X J f N T B f M j I u d H h 0 J n F 1 b 3 Q 7 L C Z x d W 9 0 O 2 1 p b k 1 h e F B h c l 8 1 M F 8 y M y 5 0 e H Q m c X V v d D s s J n F 1 b 3 Q 7 b W l u T W F 4 U G F y X z U w X z I 0 L n R 4 d C Z x d W 9 0 O y w m c X V v d D t t a W 5 N Y X h Q Y X J f N T B f M j U u d H h 0 J n F 1 b 3 Q 7 L C Z x d W 9 0 O 2 1 p b k 1 h e F B h c l 8 1 M F 8 y N i 5 0 e H Q m c X V v d D s s J n F 1 b 3 Q 7 b W l u T W F 4 U G F y X z U w X z I 3 L n R 4 d C Z x d W 9 0 O y w m c X V v d D t t a W 5 N Y X h Q Y X J f N T B f M j g u d H h 0 J n F 1 b 3 Q 7 L C Z x d W 9 0 O 2 1 p b k 1 h e F B h c l 8 1 M F 8 y O S 5 0 e H Q m c X V v d D s s J n F 1 b 3 Q 7 b W l u T W F 4 U G F y X z U w X z M w L n R 4 d C Z x d W 9 0 O y w m c X V v d D t t a W 5 N Y X h T Z X F f N T B f M T U u d H h 0 J n F 1 b 3 Q 7 L C Z x d W 9 0 O 2 1 p b k 1 h e F N l c V 8 1 M F 8 x N i 5 0 e H Q m c X V v d D s s J n F 1 b 3 Q 7 b W l u T W F 4 U 2 V x X z U w X z E 3 L n R 4 d C Z x d W 9 0 O y w m c X V v d D t t a W 5 N Y X h T Z X F f N T B f M T g u d H h 0 J n F 1 b 3 Q 7 L C Z x d W 9 0 O 2 1 p b k 1 h e F N l c V 8 1 M F 8 x O S 5 0 e H Q m c X V v d D s s J n F 1 b 3 Q 7 b W l u T W F 4 U 2 V x X z U w X z I w L n R 4 d C Z x d W 9 0 O y w m c X V v d D t t a W 5 N Y X h T Z X F f N T B f M j E u d H h 0 J n F 1 b 3 Q 7 L C Z x d W 9 0 O 2 1 p b k 1 h e F N l c V 8 1 M F 8 y M i 5 0 e H Q m c X V v d D s s J n F 1 b 3 Q 7 b W l u T W F 4 U 2 V x X z U w X z I z L n R 4 d C Z x d W 9 0 O y w m c X V v d D t t a W 5 N Y X h T Z X F f N T B f M j Q u d H h 0 J n F 1 b 3 Q 7 L C Z x d W 9 0 O 2 1 p b k 1 h e F N l c V 8 1 M F 8 y N S 5 0 e H Q m c X V v d D s s J n F 1 b 3 Q 7 b W 9 u d G V Q Y X J f N T B f M T U u d H h 0 J n F 1 b 3 Q 7 L C Z x d W 9 0 O 2 1 v b n R l U G F y X z U w X z E 2 L n R 4 d C Z x d W 9 0 O y w m c X V v d D t t b 2 5 0 Z V B h c l 8 1 M F 8 x N y 5 0 e H Q m c X V v d D s s J n F 1 b 3 Q 7 b W 9 u d G V Q Y X J f N T B f M T g u d H h 0 J n F 1 b 3 Q 7 L C Z x d W 9 0 O 2 1 v b n R l U G F y X z U w X z E 5 L n R 4 d C Z x d W 9 0 O y w m c X V v d D t t b 2 5 0 Z V B h c l 8 1 M F 8 y M C 5 0 e H Q m c X V v d D s s J n F 1 b 3 Q 7 b W 9 u d G V Q Y X J f N T B f M j E u d H h 0 J n F 1 b 3 Q 7 L C Z x d W 9 0 O 2 1 v b n R l U G F y X z U w X z I y L n R 4 d C Z x d W 9 0 O y w m c X V v d D t t b 2 5 0 Z V B h c l 8 1 M F 8 y M y 5 0 e H Q m c X V v d D s s J n F 1 b 3 Q 7 b W 9 u d G V Q Y X J f N T B f M j Q u d H h 0 J n F 1 b 3 Q 7 L C Z x d W 9 0 O 2 1 v b n R l U G F y X z U w X z I 1 L n R 4 d C Z x d W 9 0 O y w m c X V v d D t t b 2 5 0 Z V B h c l 8 1 M F 8 y N i 5 0 e H Q m c X V v d D s s J n F 1 b 3 Q 7 b W 9 u d G V Q Y X J f N T B f M j c u d H h 0 J n F 1 b 3 Q 7 L C Z x d W 9 0 O 2 1 v b n R l U G F y X z U w X z I 4 L n R 4 d C Z x d W 9 0 O y w m c X V v d D t t b 2 5 0 Z V B h c l 8 1 M F 8 y O S 5 0 e H Q m c X V v d D s s J n F 1 b 3 Q 7 b W 9 u d G V Q Y X J f N T B f M z A u d H h 0 J n F 1 b 3 Q 7 L C Z x d W 9 0 O 2 1 v b n R l U 2 V x X z U w X z E 1 L n R 4 d C Z x d W 9 0 O y w m c X V v d D t t b 2 5 0 Z V N l c V 8 1 M F 8 x N i 5 0 e H Q m c X V v d D s s J n F 1 b 3 Q 7 b W 9 u d G V T Z X F f N T B f M T c u d H h 0 J n F 1 b 3 Q 7 L C Z x d W 9 0 O 2 1 v b n R l U 2 V x X z U w X z E 4 L n R 4 d C Z x d W 9 0 O y w m c X V v d D t t b 2 5 0 Z V N l c V 8 1 M F 8 x O S 5 0 e H Q m c X V v d D s s J n F 1 b 3 Q 7 b W 9 u d G V T Z X F f N T B f M j A u d H h 0 J n F 1 b 3 Q 7 L C Z x d W 9 0 O 2 1 v b n R l U 2 V x X z U w X z I x L n R 4 d C Z x d W 9 0 O y w m c X V v d D t t b 2 5 0 Z V N l c V 8 1 M F 8 y M i 5 0 e H Q m c X V v d D s s J n F 1 b 3 Q 7 b W 9 u d G V T Z X F f N T B f M j M u d H h 0 J n F 1 b 3 Q 7 L C Z x d W 9 0 O 2 1 v b n R l U 2 V x X z U w X z I 0 L n R 4 d C Z x d W 9 0 O y w m c X V v d D t t b 2 5 0 Z V N l c V 8 1 M F 8 y N S 5 0 e H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C A o N y k v Q X V 0 b 1 J l b W 9 2 Z W R D b 2 x 1 b W 5 z M S 5 7 b W l u T W F 4 U G F y X z U w X z E 1 L n R 4 d C w w f S Z x d W 9 0 O y w m c X V v d D t T Z W N 0 a W 9 u M S 9 4 I C g 3 K S 9 B d X R v U m V t b 3 Z l Z E N v b H V t b n M x L n t t a W 5 N Y X h Q Y X J f N T B f M T Y u d H h 0 L D F 9 J n F 1 b 3 Q 7 L C Z x d W 9 0 O 1 N l Y 3 R p b 2 4 x L 3 g g K D c p L 0 F 1 d G 9 S Z W 1 v d m V k Q 2 9 s d W 1 u c z E u e 2 1 p b k 1 h e F B h c l 8 1 M F 8 x N y 5 0 e H Q s M n 0 m c X V v d D s s J n F 1 b 3 Q 7 U 2 V j d G l v b j E v e C A o N y k v Q X V 0 b 1 J l b W 9 2 Z W R D b 2 x 1 b W 5 z M S 5 7 b W l u T W F 4 U G F y X z U w X z E 4 L n R 4 d C w z f S Z x d W 9 0 O y w m c X V v d D t T Z W N 0 a W 9 u M S 9 4 I C g 3 K S 9 B d X R v U m V t b 3 Z l Z E N v b H V t b n M x L n t t a W 5 N Y X h Q Y X J f N T B f M T k u d H h 0 L D R 9 J n F 1 b 3 Q 7 L C Z x d W 9 0 O 1 N l Y 3 R p b 2 4 x L 3 g g K D c p L 0 F 1 d G 9 S Z W 1 v d m V k Q 2 9 s d W 1 u c z E u e 2 1 p b k 1 h e F B h c l 8 1 M F 8 y M C 5 0 e H Q s N X 0 m c X V v d D s s J n F 1 b 3 Q 7 U 2 V j d G l v b j E v e C A o N y k v Q X V 0 b 1 J l b W 9 2 Z W R D b 2 x 1 b W 5 z M S 5 7 b W l u T W F 4 U G F y X z U w X z I x L n R 4 d C w 2 f S Z x d W 9 0 O y w m c X V v d D t T Z W N 0 a W 9 u M S 9 4 I C g 3 K S 9 B d X R v U m V t b 3 Z l Z E N v b H V t b n M x L n t t a W 5 N Y X h Q Y X J f N T B f M j I u d H h 0 L D d 9 J n F 1 b 3 Q 7 L C Z x d W 9 0 O 1 N l Y 3 R p b 2 4 x L 3 g g K D c p L 0 F 1 d G 9 S Z W 1 v d m V k Q 2 9 s d W 1 u c z E u e 2 1 p b k 1 h e F B h c l 8 1 M F 8 y M y 5 0 e H Q s O H 0 m c X V v d D s s J n F 1 b 3 Q 7 U 2 V j d G l v b j E v e C A o N y k v Q X V 0 b 1 J l b W 9 2 Z W R D b 2 x 1 b W 5 z M S 5 7 b W l u T W F 4 U G F y X z U w X z I 0 L n R 4 d C w 5 f S Z x d W 9 0 O y w m c X V v d D t T Z W N 0 a W 9 u M S 9 4 I C g 3 K S 9 B d X R v U m V t b 3 Z l Z E N v b H V t b n M x L n t t a W 5 N Y X h Q Y X J f N T B f M j U u d H h 0 L D E w f S Z x d W 9 0 O y w m c X V v d D t T Z W N 0 a W 9 u M S 9 4 I C g 3 K S 9 B d X R v U m V t b 3 Z l Z E N v b H V t b n M x L n t t a W 5 N Y X h Q Y X J f N T B f M j Y u d H h 0 L D E x f S Z x d W 9 0 O y w m c X V v d D t T Z W N 0 a W 9 u M S 9 4 I C g 3 K S 9 B d X R v U m V t b 3 Z l Z E N v b H V t b n M x L n t t a W 5 N Y X h Q Y X J f N T B f M j c u d H h 0 L D E y f S Z x d W 9 0 O y w m c X V v d D t T Z W N 0 a W 9 u M S 9 4 I C g 3 K S 9 B d X R v U m V t b 3 Z l Z E N v b H V t b n M x L n t t a W 5 N Y X h Q Y X J f N T B f M j g u d H h 0 L D E z f S Z x d W 9 0 O y w m c X V v d D t T Z W N 0 a W 9 u M S 9 4 I C g 3 K S 9 B d X R v U m V t b 3 Z l Z E N v b H V t b n M x L n t t a W 5 N Y X h Q Y X J f N T B f M j k u d H h 0 L D E 0 f S Z x d W 9 0 O y w m c X V v d D t T Z W N 0 a W 9 u M S 9 4 I C g 3 K S 9 B d X R v U m V t b 3 Z l Z E N v b H V t b n M x L n t t a W 5 N Y X h Q Y X J f N T B f M z A u d H h 0 L D E 1 f S Z x d W 9 0 O y w m c X V v d D t T Z W N 0 a W 9 u M S 9 4 I C g 3 K S 9 B d X R v U m V t b 3 Z l Z E N v b H V t b n M x L n t t a W 5 N Y X h T Z X F f N T B f M T U u d H h 0 L D E 2 f S Z x d W 9 0 O y w m c X V v d D t T Z W N 0 a W 9 u M S 9 4 I C g 3 K S 9 B d X R v U m V t b 3 Z l Z E N v b H V t b n M x L n t t a W 5 N Y X h T Z X F f N T B f M T Y u d H h 0 L D E 3 f S Z x d W 9 0 O y w m c X V v d D t T Z W N 0 a W 9 u M S 9 4 I C g 3 K S 9 B d X R v U m V t b 3 Z l Z E N v b H V t b n M x L n t t a W 5 N Y X h T Z X F f N T B f M T c u d H h 0 L D E 4 f S Z x d W 9 0 O y w m c X V v d D t T Z W N 0 a W 9 u M S 9 4 I C g 3 K S 9 B d X R v U m V t b 3 Z l Z E N v b H V t b n M x L n t t a W 5 N Y X h T Z X F f N T B f M T g u d H h 0 L D E 5 f S Z x d W 9 0 O y w m c X V v d D t T Z W N 0 a W 9 u M S 9 4 I C g 3 K S 9 B d X R v U m V t b 3 Z l Z E N v b H V t b n M x L n t t a W 5 N Y X h T Z X F f N T B f M T k u d H h 0 L D I w f S Z x d W 9 0 O y w m c X V v d D t T Z W N 0 a W 9 u M S 9 4 I C g 3 K S 9 B d X R v U m V t b 3 Z l Z E N v b H V t b n M x L n t t a W 5 N Y X h T Z X F f N T B f M j A u d H h 0 L D I x f S Z x d W 9 0 O y w m c X V v d D t T Z W N 0 a W 9 u M S 9 4 I C g 3 K S 9 B d X R v U m V t b 3 Z l Z E N v b H V t b n M x L n t t a W 5 N Y X h T Z X F f N T B f M j E u d H h 0 L D I y f S Z x d W 9 0 O y w m c X V v d D t T Z W N 0 a W 9 u M S 9 4 I C g 3 K S 9 B d X R v U m V t b 3 Z l Z E N v b H V t b n M x L n t t a W 5 N Y X h T Z X F f N T B f M j I u d H h 0 L D I z f S Z x d W 9 0 O y w m c X V v d D t T Z W N 0 a W 9 u M S 9 4 I C g 3 K S 9 B d X R v U m V t b 3 Z l Z E N v b H V t b n M x L n t t a W 5 N Y X h T Z X F f N T B f M j M u d H h 0 L D I 0 f S Z x d W 9 0 O y w m c X V v d D t T Z W N 0 a W 9 u M S 9 4 I C g 3 K S 9 B d X R v U m V t b 3 Z l Z E N v b H V t b n M x L n t t a W 5 N Y X h T Z X F f N T B f M j Q u d H h 0 L D I 1 f S Z x d W 9 0 O y w m c X V v d D t T Z W N 0 a W 9 u M S 9 4 I C g 3 K S 9 B d X R v U m V t b 3 Z l Z E N v b H V t b n M x L n t t a W 5 N Y X h T Z X F f N T B f M j U u d H h 0 L D I 2 f S Z x d W 9 0 O y w m c X V v d D t T Z W N 0 a W 9 u M S 9 4 I C g 3 K S 9 B d X R v U m V t b 3 Z l Z E N v b H V t b n M x L n t t b 2 5 0 Z V B h c l 8 1 M F 8 x N S 5 0 e H Q s M j d 9 J n F 1 b 3 Q 7 L C Z x d W 9 0 O 1 N l Y 3 R p b 2 4 x L 3 g g K D c p L 0 F 1 d G 9 S Z W 1 v d m V k Q 2 9 s d W 1 u c z E u e 2 1 v b n R l U G F y X z U w X z E 2 L n R 4 d C w y O H 0 m c X V v d D s s J n F 1 b 3 Q 7 U 2 V j d G l v b j E v e C A o N y k v Q X V 0 b 1 J l b W 9 2 Z W R D b 2 x 1 b W 5 z M S 5 7 b W 9 u d G V Q Y X J f N T B f M T c u d H h 0 L D I 5 f S Z x d W 9 0 O y w m c X V v d D t T Z W N 0 a W 9 u M S 9 4 I C g 3 K S 9 B d X R v U m V t b 3 Z l Z E N v b H V t b n M x L n t t b 2 5 0 Z V B h c l 8 1 M F 8 x O C 5 0 e H Q s M z B 9 J n F 1 b 3 Q 7 L C Z x d W 9 0 O 1 N l Y 3 R p b 2 4 x L 3 g g K D c p L 0 F 1 d G 9 S Z W 1 v d m V k Q 2 9 s d W 1 u c z E u e 2 1 v b n R l U G F y X z U w X z E 5 L n R 4 d C w z M X 0 m c X V v d D s s J n F 1 b 3 Q 7 U 2 V j d G l v b j E v e C A o N y k v Q X V 0 b 1 J l b W 9 2 Z W R D b 2 x 1 b W 5 z M S 5 7 b W 9 u d G V Q Y X J f N T B f M j A u d H h 0 L D M y f S Z x d W 9 0 O y w m c X V v d D t T Z W N 0 a W 9 u M S 9 4 I C g 3 K S 9 B d X R v U m V t b 3 Z l Z E N v b H V t b n M x L n t t b 2 5 0 Z V B h c l 8 1 M F 8 y M S 5 0 e H Q s M z N 9 J n F 1 b 3 Q 7 L C Z x d W 9 0 O 1 N l Y 3 R p b 2 4 x L 3 g g K D c p L 0 F 1 d G 9 S Z W 1 v d m V k Q 2 9 s d W 1 u c z E u e 2 1 v b n R l U G F y X z U w X z I y L n R 4 d C w z N H 0 m c X V v d D s s J n F 1 b 3 Q 7 U 2 V j d G l v b j E v e C A o N y k v Q X V 0 b 1 J l b W 9 2 Z W R D b 2 x 1 b W 5 z M S 5 7 b W 9 u d G V Q Y X J f N T B f M j M u d H h 0 L D M 1 f S Z x d W 9 0 O y w m c X V v d D t T Z W N 0 a W 9 u M S 9 4 I C g 3 K S 9 B d X R v U m V t b 3 Z l Z E N v b H V t b n M x L n t t b 2 5 0 Z V B h c l 8 1 M F 8 y N C 5 0 e H Q s M z Z 9 J n F 1 b 3 Q 7 L C Z x d W 9 0 O 1 N l Y 3 R p b 2 4 x L 3 g g K D c p L 0 F 1 d G 9 S Z W 1 v d m V k Q 2 9 s d W 1 u c z E u e 2 1 v b n R l U G F y X z U w X z I 1 L n R 4 d C w z N 3 0 m c X V v d D s s J n F 1 b 3 Q 7 U 2 V j d G l v b j E v e C A o N y k v Q X V 0 b 1 J l b W 9 2 Z W R D b 2 x 1 b W 5 z M S 5 7 b W 9 u d G V Q Y X J f N T B f M j Y u d H h 0 L D M 4 f S Z x d W 9 0 O y w m c X V v d D t T Z W N 0 a W 9 u M S 9 4 I C g 3 K S 9 B d X R v U m V t b 3 Z l Z E N v b H V t b n M x L n t t b 2 5 0 Z V B h c l 8 1 M F 8 y N y 5 0 e H Q s M z l 9 J n F 1 b 3 Q 7 L C Z x d W 9 0 O 1 N l Y 3 R p b 2 4 x L 3 g g K D c p L 0 F 1 d G 9 S Z W 1 v d m V k Q 2 9 s d W 1 u c z E u e 2 1 v b n R l U G F y X z U w X z I 4 L n R 4 d C w 0 M H 0 m c X V v d D s s J n F 1 b 3 Q 7 U 2 V j d G l v b j E v e C A o N y k v Q X V 0 b 1 J l b W 9 2 Z W R D b 2 x 1 b W 5 z M S 5 7 b W 9 u d G V Q Y X J f N T B f M j k u d H h 0 L D Q x f S Z x d W 9 0 O y w m c X V v d D t T Z W N 0 a W 9 u M S 9 4 I C g 3 K S 9 B d X R v U m V t b 3 Z l Z E N v b H V t b n M x L n t t b 2 5 0 Z V B h c l 8 1 M F 8 z M C 5 0 e H Q s N D J 9 J n F 1 b 3 Q 7 L C Z x d W 9 0 O 1 N l Y 3 R p b 2 4 x L 3 g g K D c p L 0 F 1 d G 9 S Z W 1 v d m V k Q 2 9 s d W 1 u c z E u e 2 1 v b n R l U 2 V x X z U w X z E 1 L n R 4 d C w 0 M 3 0 m c X V v d D s s J n F 1 b 3 Q 7 U 2 V j d G l v b j E v e C A o N y k v Q X V 0 b 1 J l b W 9 2 Z W R D b 2 x 1 b W 5 z M S 5 7 b W 9 u d G V T Z X F f N T B f M T Y u d H h 0 L D Q 0 f S Z x d W 9 0 O y w m c X V v d D t T Z W N 0 a W 9 u M S 9 4 I C g 3 K S 9 B d X R v U m V t b 3 Z l Z E N v b H V t b n M x L n t t b 2 5 0 Z V N l c V 8 1 M F 8 x N y 5 0 e H Q s N D V 9 J n F 1 b 3 Q 7 L C Z x d W 9 0 O 1 N l Y 3 R p b 2 4 x L 3 g g K D c p L 0 F 1 d G 9 S Z W 1 v d m V k Q 2 9 s d W 1 u c z E u e 2 1 v b n R l U 2 V x X z U w X z E 4 L n R 4 d C w 0 N n 0 m c X V v d D s s J n F 1 b 3 Q 7 U 2 V j d G l v b j E v e C A o N y k v Q X V 0 b 1 J l b W 9 2 Z W R D b 2 x 1 b W 5 z M S 5 7 b W 9 u d G V T Z X F f N T B f M T k u d H h 0 L D Q 3 f S Z x d W 9 0 O y w m c X V v d D t T Z W N 0 a W 9 u M S 9 4 I C g 3 K S 9 B d X R v U m V t b 3 Z l Z E N v b H V t b n M x L n t t b 2 5 0 Z V N l c V 8 1 M F 8 y M C 5 0 e H Q s N D h 9 J n F 1 b 3 Q 7 L C Z x d W 9 0 O 1 N l Y 3 R p b 2 4 x L 3 g g K D c p L 0 F 1 d G 9 S Z W 1 v d m V k Q 2 9 s d W 1 u c z E u e 2 1 v b n R l U 2 V x X z U w X z I x L n R 4 d C w 0 O X 0 m c X V v d D s s J n F 1 b 3 Q 7 U 2 V j d G l v b j E v e C A o N y k v Q X V 0 b 1 J l b W 9 2 Z W R D b 2 x 1 b W 5 z M S 5 7 b W 9 u d G V T Z X F f N T B f M j I u d H h 0 L D U w f S Z x d W 9 0 O y w m c X V v d D t T Z W N 0 a W 9 u M S 9 4 I C g 3 K S 9 B d X R v U m V t b 3 Z l Z E N v b H V t b n M x L n t t b 2 5 0 Z V N l c V 8 1 M F 8 y M y 5 0 e H Q s N T F 9 J n F 1 b 3 Q 7 L C Z x d W 9 0 O 1 N l Y 3 R p b 2 4 x L 3 g g K D c p L 0 F 1 d G 9 S Z W 1 v d m V k Q 2 9 s d W 1 u c z E u e 2 1 v b n R l U 2 V x X z U w X z I 0 L n R 4 d C w 1 M n 0 m c X V v d D s s J n F 1 b 3 Q 7 U 2 V j d G l v b j E v e C A o N y k v Q X V 0 b 1 J l b W 9 2 Z W R D b 2 x 1 b W 5 z M S 5 7 b W 9 u d G V T Z X F f N T B f M j U u d H h 0 L D U z f S Z x d W 9 0 O 1 0 s J n F 1 b 3 Q 7 Q 2 9 s d W 1 u Q 2 9 1 b n Q m c X V v d D s 6 N T Q s J n F 1 b 3 Q 7 S 2 V 5 Q 2 9 s d W 1 u T m F t Z X M m c X V v d D s 6 W 1 0 s J n F 1 b 3 Q 7 Q 2 9 s d W 1 u S W R l b n R p d G l l c y Z x d W 9 0 O z p b J n F 1 b 3 Q 7 U 2 V j d G l v b j E v e C A o N y k v Q X V 0 b 1 J l b W 9 2 Z W R D b 2 x 1 b W 5 z M S 5 7 b W l u T W F 4 U G F y X z U w X z E 1 L n R 4 d C w w f S Z x d W 9 0 O y w m c X V v d D t T Z W N 0 a W 9 u M S 9 4 I C g 3 K S 9 B d X R v U m V t b 3 Z l Z E N v b H V t b n M x L n t t a W 5 N Y X h Q Y X J f N T B f M T Y u d H h 0 L D F 9 J n F 1 b 3 Q 7 L C Z x d W 9 0 O 1 N l Y 3 R p b 2 4 x L 3 g g K D c p L 0 F 1 d G 9 S Z W 1 v d m V k Q 2 9 s d W 1 u c z E u e 2 1 p b k 1 h e F B h c l 8 1 M F 8 x N y 5 0 e H Q s M n 0 m c X V v d D s s J n F 1 b 3 Q 7 U 2 V j d G l v b j E v e C A o N y k v Q X V 0 b 1 J l b W 9 2 Z W R D b 2 x 1 b W 5 z M S 5 7 b W l u T W F 4 U G F y X z U w X z E 4 L n R 4 d C w z f S Z x d W 9 0 O y w m c X V v d D t T Z W N 0 a W 9 u M S 9 4 I C g 3 K S 9 B d X R v U m V t b 3 Z l Z E N v b H V t b n M x L n t t a W 5 N Y X h Q Y X J f N T B f M T k u d H h 0 L D R 9 J n F 1 b 3 Q 7 L C Z x d W 9 0 O 1 N l Y 3 R p b 2 4 x L 3 g g K D c p L 0 F 1 d G 9 S Z W 1 v d m V k Q 2 9 s d W 1 u c z E u e 2 1 p b k 1 h e F B h c l 8 1 M F 8 y M C 5 0 e H Q s N X 0 m c X V v d D s s J n F 1 b 3 Q 7 U 2 V j d G l v b j E v e C A o N y k v Q X V 0 b 1 J l b W 9 2 Z W R D b 2 x 1 b W 5 z M S 5 7 b W l u T W F 4 U G F y X z U w X z I x L n R 4 d C w 2 f S Z x d W 9 0 O y w m c X V v d D t T Z W N 0 a W 9 u M S 9 4 I C g 3 K S 9 B d X R v U m V t b 3 Z l Z E N v b H V t b n M x L n t t a W 5 N Y X h Q Y X J f N T B f M j I u d H h 0 L D d 9 J n F 1 b 3 Q 7 L C Z x d W 9 0 O 1 N l Y 3 R p b 2 4 x L 3 g g K D c p L 0 F 1 d G 9 S Z W 1 v d m V k Q 2 9 s d W 1 u c z E u e 2 1 p b k 1 h e F B h c l 8 1 M F 8 y M y 5 0 e H Q s O H 0 m c X V v d D s s J n F 1 b 3 Q 7 U 2 V j d G l v b j E v e C A o N y k v Q X V 0 b 1 J l b W 9 2 Z W R D b 2 x 1 b W 5 z M S 5 7 b W l u T W F 4 U G F y X z U w X z I 0 L n R 4 d C w 5 f S Z x d W 9 0 O y w m c X V v d D t T Z W N 0 a W 9 u M S 9 4 I C g 3 K S 9 B d X R v U m V t b 3 Z l Z E N v b H V t b n M x L n t t a W 5 N Y X h Q Y X J f N T B f M j U u d H h 0 L D E w f S Z x d W 9 0 O y w m c X V v d D t T Z W N 0 a W 9 u M S 9 4 I C g 3 K S 9 B d X R v U m V t b 3 Z l Z E N v b H V t b n M x L n t t a W 5 N Y X h Q Y X J f N T B f M j Y u d H h 0 L D E x f S Z x d W 9 0 O y w m c X V v d D t T Z W N 0 a W 9 u M S 9 4 I C g 3 K S 9 B d X R v U m V t b 3 Z l Z E N v b H V t b n M x L n t t a W 5 N Y X h Q Y X J f N T B f M j c u d H h 0 L D E y f S Z x d W 9 0 O y w m c X V v d D t T Z W N 0 a W 9 u M S 9 4 I C g 3 K S 9 B d X R v U m V t b 3 Z l Z E N v b H V t b n M x L n t t a W 5 N Y X h Q Y X J f N T B f M j g u d H h 0 L D E z f S Z x d W 9 0 O y w m c X V v d D t T Z W N 0 a W 9 u M S 9 4 I C g 3 K S 9 B d X R v U m V t b 3 Z l Z E N v b H V t b n M x L n t t a W 5 N Y X h Q Y X J f N T B f M j k u d H h 0 L D E 0 f S Z x d W 9 0 O y w m c X V v d D t T Z W N 0 a W 9 u M S 9 4 I C g 3 K S 9 B d X R v U m V t b 3 Z l Z E N v b H V t b n M x L n t t a W 5 N Y X h Q Y X J f N T B f M z A u d H h 0 L D E 1 f S Z x d W 9 0 O y w m c X V v d D t T Z W N 0 a W 9 u M S 9 4 I C g 3 K S 9 B d X R v U m V t b 3 Z l Z E N v b H V t b n M x L n t t a W 5 N Y X h T Z X F f N T B f M T U u d H h 0 L D E 2 f S Z x d W 9 0 O y w m c X V v d D t T Z W N 0 a W 9 u M S 9 4 I C g 3 K S 9 B d X R v U m V t b 3 Z l Z E N v b H V t b n M x L n t t a W 5 N Y X h T Z X F f N T B f M T Y u d H h 0 L D E 3 f S Z x d W 9 0 O y w m c X V v d D t T Z W N 0 a W 9 u M S 9 4 I C g 3 K S 9 B d X R v U m V t b 3 Z l Z E N v b H V t b n M x L n t t a W 5 N Y X h T Z X F f N T B f M T c u d H h 0 L D E 4 f S Z x d W 9 0 O y w m c X V v d D t T Z W N 0 a W 9 u M S 9 4 I C g 3 K S 9 B d X R v U m V t b 3 Z l Z E N v b H V t b n M x L n t t a W 5 N Y X h T Z X F f N T B f M T g u d H h 0 L D E 5 f S Z x d W 9 0 O y w m c X V v d D t T Z W N 0 a W 9 u M S 9 4 I C g 3 K S 9 B d X R v U m V t b 3 Z l Z E N v b H V t b n M x L n t t a W 5 N Y X h T Z X F f N T B f M T k u d H h 0 L D I w f S Z x d W 9 0 O y w m c X V v d D t T Z W N 0 a W 9 u M S 9 4 I C g 3 K S 9 B d X R v U m V t b 3 Z l Z E N v b H V t b n M x L n t t a W 5 N Y X h T Z X F f N T B f M j A u d H h 0 L D I x f S Z x d W 9 0 O y w m c X V v d D t T Z W N 0 a W 9 u M S 9 4 I C g 3 K S 9 B d X R v U m V t b 3 Z l Z E N v b H V t b n M x L n t t a W 5 N Y X h T Z X F f N T B f M j E u d H h 0 L D I y f S Z x d W 9 0 O y w m c X V v d D t T Z W N 0 a W 9 u M S 9 4 I C g 3 K S 9 B d X R v U m V t b 3 Z l Z E N v b H V t b n M x L n t t a W 5 N Y X h T Z X F f N T B f M j I u d H h 0 L D I z f S Z x d W 9 0 O y w m c X V v d D t T Z W N 0 a W 9 u M S 9 4 I C g 3 K S 9 B d X R v U m V t b 3 Z l Z E N v b H V t b n M x L n t t a W 5 N Y X h T Z X F f N T B f M j M u d H h 0 L D I 0 f S Z x d W 9 0 O y w m c X V v d D t T Z W N 0 a W 9 u M S 9 4 I C g 3 K S 9 B d X R v U m V t b 3 Z l Z E N v b H V t b n M x L n t t a W 5 N Y X h T Z X F f N T B f M j Q u d H h 0 L D I 1 f S Z x d W 9 0 O y w m c X V v d D t T Z W N 0 a W 9 u M S 9 4 I C g 3 K S 9 B d X R v U m V t b 3 Z l Z E N v b H V t b n M x L n t t a W 5 N Y X h T Z X F f N T B f M j U u d H h 0 L D I 2 f S Z x d W 9 0 O y w m c X V v d D t T Z W N 0 a W 9 u M S 9 4 I C g 3 K S 9 B d X R v U m V t b 3 Z l Z E N v b H V t b n M x L n t t b 2 5 0 Z V B h c l 8 1 M F 8 x N S 5 0 e H Q s M j d 9 J n F 1 b 3 Q 7 L C Z x d W 9 0 O 1 N l Y 3 R p b 2 4 x L 3 g g K D c p L 0 F 1 d G 9 S Z W 1 v d m V k Q 2 9 s d W 1 u c z E u e 2 1 v b n R l U G F y X z U w X z E 2 L n R 4 d C w y O H 0 m c X V v d D s s J n F 1 b 3 Q 7 U 2 V j d G l v b j E v e C A o N y k v Q X V 0 b 1 J l b W 9 2 Z W R D b 2 x 1 b W 5 z M S 5 7 b W 9 u d G V Q Y X J f N T B f M T c u d H h 0 L D I 5 f S Z x d W 9 0 O y w m c X V v d D t T Z W N 0 a W 9 u M S 9 4 I C g 3 K S 9 B d X R v U m V t b 3 Z l Z E N v b H V t b n M x L n t t b 2 5 0 Z V B h c l 8 1 M F 8 x O C 5 0 e H Q s M z B 9 J n F 1 b 3 Q 7 L C Z x d W 9 0 O 1 N l Y 3 R p b 2 4 x L 3 g g K D c p L 0 F 1 d G 9 S Z W 1 v d m V k Q 2 9 s d W 1 u c z E u e 2 1 v b n R l U G F y X z U w X z E 5 L n R 4 d C w z M X 0 m c X V v d D s s J n F 1 b 3 Q 7 U 2 V j d G l v b j E v e C A o N y k v Q X V 0 b 1 J l b W 9 2 Z W R D b 2 x 1 b W 5 z M S 5 7 b W 9 u d G V Q Y X J f N T B f M j A u d H h 0 L D M y f S Z x d W 9 0 O y w m c X V v d D t T Z W N 0 a W 9 u M S 9 4 I C g 3 K S 9 B d X R v U m V t b 3 Z l Z E N v b H V t b n M x L n t t b 2 5 0 Z V B h c l 8 1 M F 8 y M S 5 0 e H Q s M z N 9 J n F 1 b 3 Q 7 L C Z x d W 9 0 O 1 N l Y 3 R p b 2 4 x L 3 g g K D c p L 0 F 1 d G 9 S Z W 1 v d m V k Q 2 9 s d W 1 u c z E u e 2 1 v b n R l U G F y X z U w X z I y L n R 4 d C w z N H 0 m c X V v d D s s J n F 1 b 3 Q 7 U 2 V j d G l v b j E v e C A o N y k v Q X V 0 b 1 J l b W 9 2 Z W R D b 2 x 1 b W 5 z M S 5 7 b W 9 u d G V Q Y X J f N T B f M j M u d H h 0 L D M 1 f S Z x d W 9 0 O y w m c X V v d D t T Z W N 0 a W 9 u M S 9 4 I C g 3 K S 9 B d X R v U m V t b 3 Z l Z E N v b H V t b n M x L n t t b 2 5 0 Z V B h c l 8 1 M F 8 y N C 5 0 e H Q s M z Z 9 J n F 1 b 3 Q 7 L C Z x d W 9 0 O 1 N l Y 3 R p b 2 4 x L 3 g g K D c p L 0 F 1 d G 9 S Z W 1 v d m V k Q 2 9 s d W 1 u c z E u e 2 1 v b n R l U G F y X z U w X z I 1 L n R 4 d C w z N 3 0 m c X V v d D s s J n F 1 b 3 Q 7 U 2 V j d G l v b j E v e C A o N y k v Q X V 0 b 1 J l b W 9 2 Z W R D b 2 x 1 b W 5 z M S 5 7 b W 9 u d G V Q Y X J f N T B f M j Y u d H h 0 L D M 4 f S Z x d W 9 0 O y w m c X V v d D t T Z W N 0 a W 9 u M S 9 4 I C g 3 K S 9 B d X R v U m V t b 3 Z l Z E N v b H V t b n M x L n t t b 2 5 0 Z V B h c l 8 1 M F 8 y N y 5 0 e H Q s M z l 9 J n F 1 b 3 Q 7 L C Z x d W 9 0 O 1 N l Y 3 R p b 2 4 x L 3 g g K D c p L 0 F 1 d G 9 S Z W 1 v d m V k Q 2 9 s d W 1 u c z E u e 2 1 v b n R l U G F y X z U w X z I 4 L n R 4 d C w 0 M H 0 m c X V v d D s s J n F 1 b 3 Q 7 U 2 V j d G l v b j E v e C A o N y k v Q X V 0 b 1 J l b W 9 2 Z W R D b 2 x 1 b W 5 z M S 5 7 b W 9 u d G V Q Y X J f N T B f M j k u d H h 0 L D Q x f S Z x d W 9 0 O y w m c X V v d D t T Z W N 0 a W 9 u M S 9 4 I C g 3 K S 9 B d X R v U m V t b 3 Z l Z E N v b H V t b n M x L n t t b 2 5 0 Z V B h c l 8 1 M F 8 z M C 5 0 e H Q s N D J 9 J n F 1 b 3 Q 7 L C Z x d W 9 0 O 1 N l Y 3 R p b 2 4 x L 3 g g K D c p L 0 F 1 d G 9 S Z W 1 v d m V k Q 2 9 s d W 1 u c z E u e 2 1 v b n R l U 2 V x X z U w X z E 1 L n R 4 d C w 0 M 3 0 m c X V v d D s s J n F 1 b 3 Q 7 U 2 V j d G l v b j E v e C A o N y k v Q X V 0 b 1 J l b W 9 2 Z W R D b 2 x 1 b W 5 z M S 5 7 b W 9 u d G V T Z X F f N T B f M T Y u d H h 0 L D Q 0 f S Z x d W 9 0 O y w m c X V v d D t T Z W N 0 a W 9 u M S 9 4 I C g 3 K S 9 B d X R v U m V t b 3 Z l Z E N v b H V t b n M x L n t t b 2 5 0 Z V N l c V 8 1 M F 8 x N y 5 0 e H Q s N D V 9 J n F 1 b 3 Q 7 L C Z x d W 9 0 O 1 N l Y 3 R p b 2 4 x L 3 g g K D c p L 0 F 1 d G 9 S Z W 1 v d m V k Q 2 9 s d W 1 u c z E u e 2 1 v b n R l U 2 V x X z U w X z E 4 L n R 4 d C w 0 N n 0 m c X V v d D s s J n F 1 b 3 Q 7 U 2 V j d G l v b j E v e C A o N y k v Q X V 0 b 1 J l b W 9 2 Z W R D b 2 x 1 b W 5 z M S 5 7 b W 9 u d G V T Z X F f N T B f M T k u d H h 0 L D Q 3 f S Z x d W 9 0 O y w m c X V v d D t T Z W N 0 a W 9 u M S 9 4 I C g 3 K S 9 B d X R v U m V t b 3 Z l Z E N v b H V t b n M x L n t t b 2 5 0 Z V N l c V 8 1 M F 8 y M C 5 0 e H Q s N D h 9 J n F 1 b 3 Q 7 L C Z x d W 9 0 O 1 N l Y 3 R p b 2 4 x L 3 g g K D c p L 0 F 1 d G 9 S Z W 1 v d m V k Q 2 9 s d W 1 u c z E u e 2 1 v b n R l U 2 V x X z U w X z I x L n R 4 d C w 0 O X 0 m c X V v d D s s J n F 1 b 3 Q 7 U 2 V j d G l v b j E v e C A o N y k v Q X V 0 b 1 J l b W 9 2 Z W R D b 2 x 1 b W 5 z M S 5 7 b W 9 u d G V T Z X F f N T B f M j I u d H h 0 L D U w f S Z x d W 9 0 O y w m c X V v d D t T Z W N 0 a W 9 u M S 9 4 I C g 3 K S 9 B d X R v U m V t b 3 Z l Z E N v b H V t b n M x L n t t b 2 5 0 Z V N l c V 8 1 M F 8 y M y 5 0 e H Q s N T F 9 J n F 1 b 3 Q 7 L C Z x d W 9 0 O 1 N l Y 3 R p b 2 4 x L 3 g g K D c p L 0 F 1 d G 9 S Z W 1 v d m V k Q 2 9 s d W 1 u c z E u e 2 1 v b n R l U 2 V x X z U w X z I 0 L n R 4 d C w 1 M n 0 m c X V v d D s s J n F 1 b 3 Q 7 U 2 V j d G l v b j E v e C A o N y k v Q X V 0 b 1 J l b W 9 2 Z W R D b 2 x 1 b W 5 z M S 5 7 b W 9 u d G V T Z X F f N T B f M j U u d H h 0 L D U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C U y M C g 3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4 J T I w K D c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C U y M C g 3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4 J T I w K D g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e F 9 f O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y O F Q y M j o 0 M j o x N C 4 x N T I 5 M T A y W i I g L z 4 8 R W 5 0 c n k g V H l w Z T 0 i R m l s b E N v b H V t b l R 5 c G V z I i B W Y W x 1 Z T 0 i c 0 J R V U Z C U V V G Q l F V R k J R V U Z C U V V G Q l F V R k J R V U Z C U V V G Q l F V R k J R V U Z C U V V G Q l F V R k J R V U Z C U V V G Q l F V R k J R V U Z C U V V G Q l F V R i I g L z 4 8 R W 5 0 c n k g V H l w Z T 0 i R m l s b E N v b H V t b k 5 h b W V z I i B W Y W x 1 Z T 0 i c 1 s m c X V v d D t t a W 5 N Y X h Q Y X J f N T B f M T U u d H h 0 J n F 1 b 3 Q 7 L C Z x d W 9 0 O 2 1 p b k 1 h e F B h c l 8 1 M F 8 x N i 5 0 e H Q m c X V v d D s s J n F 1 b 3 Q 7 b W l u T W F 4 U G F y X z U w X z E 3 L n R 4 d C Z x d W 9 0 O y w m c X V v d D t t a W 5 N Y X h Q Y X J f N T B f M T g u d H h 0 J n F 1 b 3 Q 7 L C Z x d W 9 0 O 2 1 p b k 1 h e F B h c l 8 1 M F 8 x O S 5 0 e H Q m c X V v d D s s J n F 1 b 3 Q 7 b W l u T W F 4 U G F y X z U w X z I w L n R 4 d C Z x d W 9 0 O y w m c X V v d D t t a W 5 N Y X h Q Y X J f N T B f M j E u d H h 0 J n F 1 b 3 Q 7 L C Z x d W 9 0 O 2 1 p b k 1 h e F B h c l 8 1 M F 8 y M i 5 0 e H Q m c X V v d D s s J n F 1 b 3 Q 7 b W l u T W F 4 U G F y X z U w X z I z L n R 4 d C Z x d W 9 0 O y w m c X V v d D t t a W 5 N Y X h Q Y X J f N T B f M j Q u d H h 0 J n F 1 b 3 Q 7 L C Z x d W 9 0 O 2 1 p b k 1 h e F B h c l 8 1 M F 8 y N S 5 0 e H Q m c X V v d D s s J n F 1 b 3 Q 7 b W l u T W F 4 U G F y X z U w X z I 2 L n R 4 d C Z x d W 9 0 O y w m c X V v d D t t a W 5 N Y X h Q Y X J f N T B f M j c u d H h 0 J n F 1 b 3 Q 7 L C Z x d W 9 0 O 2 1 p b k 1 h e F B h c l 8 1 M F 8 y O C 5 0 e H Q m c X V v d D s s J n F 1 b 3 Q 7 b W l u T W F 4 U G F y X z U w X z I 5 L n R 4 d C Z x d W 9 0 O y w m c X V v d D t t a W 5 N Y X h Q Y X J f N T B f M z A u d H h 0 J n F 1 b 3 Q 7 L C Z x d W 9 0 O 2 1 p b k 1 h e F N l c V 8 1 M F 8 x N S 5 0 e H Q m c X V v d D s s J n F 1 b 3 Q 7 b W l u T W F 4 U 2 V x X z U w X z E 2 L n R 4 d C Z x d W 9 0 O y w m c X V v d D t t a W 5 N Y X h T Z X F f N T B f M T c u d H h 0 J n F 1 b 3 Q 7 L C Z x d W 9 0 O 2 1 p b k 1 h e F N l c V 8 1 M F 8 x O C 5 0 e H Q m c X V v d D s s J n F 1 b 3 Q 7 b W l u T W F 4 U 2 V x X z U w X z E 5 L n R 4 d C Z x d W 9 0 O y w m c X V v d D t t a W 5 N Y X h T Z X F f N T B f M j A u d H h 0 J n F 1 b 3 Q 7 L C Z x d W 9 0 O 2 1 p b k 1 h e F N l c V 8 1 M F 8 y M S 5 0 e H Q m c X V v d D s s J n F 1 b 3 Q 7 b W l u T W F 4 U 2 V x X z U w X z I y L n R 4 d C Z x d W 9 0 O y w m c X V v d D t t a W 5 N Y X h T Z X F f N T B f M j M u d H h 0 J n F 1 b 3 Q 7 L C Z x d W 9 0 O 2 1 p b k 1 h e F N l c V 8 1 M F 8 y N C 5 0 e H Q m c X V v d D s s J n F 1 b 3 Q 7 b W l u T W F 4 U 2 V x X z U w X z I 1 L n R 4 d C Z x d W 9 0 O y w m c X V v d D t t b 2 5 0 Z V B h c l 8 1 M F 8 x N S 5 0 e H Q m c X V v d D s s J n F 1 b 3 Q 7 b W 9 u d G V Q Y X J f N T B f M T Y u d H h 0 J n F 1 b 3 Q 7 L C Z x d W 9 0 O 2 1 v b n R l U G F y X z U w X z E 3 L n R 4 d C Z x d W 9 0 O y w m c X V v d D t t b 2 5 0 Z V B h c l 8 1 M F 8 x O C 5 0 e H Q m c X V v d D s s J n F 1 b 3 Q 7 b W 9 u d G V Q Y X J f N T B f M T k u d H h 0 J n F 1 b 3 Q 7 L C Z x d W 9 0 O 2 1 v b n R l U G F y X z U w X z I w L n R 4 d C Z x d W 9 0 O y w m c X V v d D t t b 2 5 0 Z V B h c l 8 1 M F 8 y M S 5 0 e H Q m c X V v d D s s J n F 1 b 3 Q 7 b W 9 u d G V Q Y X J f N T B f M j I u d H h 0 J n F 1 b 3 Q 7 L C Z x d W 9 0 O 2 1 v b n R l U G F y X z U w X z I z L n R 4 d C Z x d W 9 0 O y w m c X V v d D t t b 2 5 0 Z V B h c l 8 1 M F 8 y N C 5 0 e H Q m c X V v d D s s J n F 1 b 3 Q 7 b W 9 u d G V Q Y X J f N T B f M j U u d H h 0 J n F 1 b 3 Q 7 L C Z x d W 9 0 O 2 1 v b n R l U G F y X z U w X z I 2 L n R 4 d C Z x d W 9 0 O y w m c X V v d D t t b 2 5 0 Z V B h c l 8 1 M F 8 y N y 5 0 e H Q m c X V v d D s s J n F 1 b 3 Q 7 b W 9 u d G V Q Y X J f N T B f M j g u d H h 0 J n F 1 b 3 Q 7 L C Z x d W 9 0 O 2 1 v b n R l U G F y X z U w X z I 5 L n R 4 d C Z x d W 9 0 O y w m c X V v d D t t b 2 5 0 Z V B h c l 8 1 M F 8 z M C 5 0 e H Q m c X V v d D s s J n F 1 b 3 Q 7 b W 9 u d G V T Z X F f N T B f M T U u d H h 0 J n F 1 b 3 Q 7 L C Z x d W 9 0 O 2 1 v b n R l U 2 V x X z U w X z E 2 L n R 4 d C Z x d W 9 0 O y w m c X V v d D t t b 2 5 0 Z V N l c V 8 1 M F 8 x N y 5 0 e H Q m c X V v d D s s J n F 1 b 3 Q 7 b W 9 u d G V T Z X F f N T B f M T g u d H h 0 J n F 1 b 3 Q 7 L C Z x d W 9 0 O 2 1 v b n R l U 2 V x X z U w X z E 5 L n R 4 d C Z x d W 9 0 O y w m c X V v d D t t b 2 5 0 Z V N l c V 8 1 M F 8 y M C 5 0 e H Q m c X V v d D s s J n F 1 b 3 Q 7 b W 9 u d G V T Z X F f N T B f M j E u d H h 0 J n F 1 b 3 Q 7 L C Z x d W 9 0 O 2 1 v b n R l U 2 V x X z U w X z I y L n R 4 d C Z x d W 9 0 O y w m c X V v d D t t b 2 5 0 Z V N l c V 8 1 M F 8 y M y 5 0 e H Q m c X V v d D s s J n F 1 b 3 Q 7 b W 9 u d G V T Z X F f N T B f M j Q u d H h 0 J n F 1 b 3 Q 7 L C Z x d W 9 0 O 2 1 v b n R l U 2 V x X z U w X z I 1 L n R 4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4 I C g 4 K S 9 B d X R v U m V t b 3 Z l Z E N v b H V t b n M x L n t t a W 5 N Y X h Q Y X J f N T B f M T U u d H h 0 L D B 9 J n F 1 b 3 Q 7 L C Z x d W 9 0 O 1 N l Y 3 R p b 2 4 x L 3 g g K D g p L 0 F 1 d G 9 S Z W 1 v d m V k Q 2 9 s d W 1 u c z E u e 2 1 p b k 1 h e F B h c l 8 1 M F 8 x N i 5 0 e H Q s M X 0 m c X V v d D s s J n F 1 b 3 Q 7 U 2 V j d G l v b j E v e C A o O C k v Q X V 0 b 1 J l b W 9 2 Z W R D b 2 x 1 b W 5 z M S 5 7 b W l u T W F 4 U G F y X z U w X z E 3 L n R 4 d C w y f S Z x d W 9 0 O y w m c X V v d D t T Z W N 0 a W 9 u M S 9 4 I C g 4 K S 9 B d X R v U m V t b 3 Z l Z E N v b H V t b n M x L n t t a W 5 N Y X h Q Y X J f N T B f M T g u d H h 0 L D N 9 J n F 1 b 3 Q 7 L C Z x d W 9 0 O 1 N l Y 3 R p b 2 4 x L 3 g g K D g p L 0 F 1 d G 9 S Z W 1 v d m V k Q 2 9 s d W 1 u c z E u e 2 1 p b k 1 h e F B h c l 8 1 M F 8 x O S 5 0 e H Q s N H 0 m c X V v d D s s J n F 1 b 3 Q 7 U 2 V j d G l v b j E v e C A o O C k v Q X V 0 b 1 J l b W 9 2 Z W R D b 2 x 1 b W 5 z M S 5 7 b W l u T W F 4 U G F y X z U w X z I w L n R 4 d C w 1 f S Z x d W 9 0 O y w m c X V v d D t T Z W N 0 a W 9 u M S 9 4 I C g 4 K S 9 B d X R v U m V t b 3 Z l Z E N v b H V t b n M x L n t t a W 5 N Y X h Q Y X J f N T B f M j E u d H h 0 L D Z 9 J n F 1 b 3 Q 7 L C Z x d W 9 0 O 1 N l Y 3 R p b 2 4 x L 3 g g K D g p L 0 F 1 d G 9 S Z W 1 v d m V k Q 2 9 s d W 1 u c z E u e 2 1 p b k 1 h e F B h c l 8 1 M F 8 y M i 5 0 e H Q s N 3 0 m c X V v d D s s J n F 1 b 3 Q 7 U 2 V j d G l v b j E v e C A o O C k v Q X V 0 b 1 J l b W 9 2 Z W R D b 2 x 1 b W 5 z M S 5 7 b W l u T W F 4 U G F y X z U w X z I z L n R 4 d C w 4 f S Z x d W 9 0 O y w m c X V v d D t T Z W N 0 a W 9 u M S 9 4 I C g 4 K S 9 B d X R v U m V t b 3 Z l Z E N v b H V t b n M x L n t t a W 5 N Y X h Q Y X J f N T B f M j Q u d H h 0 L D l 9 J n F 1 b 3 Q 7 L C Z x d W 9 0 O 1 N l Y 3 R p b 2 4 x L 3 g g K D g p L 0 F 1 d G 9 S Z W 1 v d m V k Q 2 9 s d W 1 u c z E u e 2 1 p b k 1 h e F B h c l 8 1 M F 8 y N S 5 0 e H Q s M T B 9 J n F 1 b 3 Q 7 L C Z x d W 9 0 O 1 N l Y 3 R p b 2 4 x L 3 g g K D g p L 0 F 1 d G 9 S Z W 1 v d m V k Q 2 9 s d W 1 u c z E u e 2 1 p b k 1 h e F B h c l 8 1 M F 8 y N i 5 0 e H Q s M T F 9 J n F 1 b 3 Q 7 L C Z x d W 9 0 O 1 N l Y 3 R p b 2 4 x L 3 g g K D g p L 0 F 1 d G 9 S Z W 1 v d m V k Q 2 9 s d W 1 u c z E u e 2 1 p b k 1 h e F B h c l 8 1 M F 8 y N y 5 0 e H Q s M T J 9 J n F 1 b 3 Q 7 L C Z x d W 9 0 O 1 N l Y 3 R p b 2 4 x L 3 g g K D g p L 0 F 1 d G 9 S Z W 1 v d m V k Q 2 9 s d W 1 u c z E u e 2 1 p b k 1 h e F B h c l 8 1 M F 8 y O C 5 0 e H Q s M T N 9 J n F 1 b 3 Q 7 L C Z x d W 9 0 O 1 N l Y 3 R p b 2 4 x L 3 g g K D g p L 0 F 1 d G 9 S Z W 1 v d m V k Q 2 9 s d W 1 u c z E u e 2 1 p b k 1 h e F B h c l 8 1 M F 8 y O S 5 0 e H Q s M T R 9 J n F 1 b 3 Q 7 L C Z x d W 9 0 O 1 N l Y 3 R p b 2 4 x L 3 g g K D g p L 0 F 1 d G 9 S Z W 1 v d m V k Q 2 9 s d W 1 u c z E u e 2 1 p b k 1 h e F B h c l 8 1 M F 8 z M C 5 0 e H Q s M T V 9 J n F 1 b 3 Q 7 L C Z x d W 9 0 O 1 N l Y 3 R p b 2 4 x L 3 g g K D g p L 0 F 1 d G 9 S Z W 1 v d m V k Q 2 9 s d W 1 u c z E u e 2 1 p b k 1 h e F N l c V 8 1 M F 8 x N S 5 0 e H Q s M T Z 9 J n F 1 b 3 Q 7 L C Z x d W 9 0 O 1 N l Y 3 R p b 2 4 x L 3 g g K D g p L 0 F 1 d G 9 S Z W 1 v d m V k Q 2 9 s d W 1 u c z E u e 2 1 p b k 1 h e F N l c V 8 1 M F 8 x N i 5 0 e H Q s M T d 9 J n F 1 b 3 Q 7 L C Z x d W 9 0 O 1 N l Y 3 R p b 2 4 x L 3 g g K D g p L 0 F 1 d G 9 S Z W 1 v d m V k Q 2 9 s d W 1 u c z E u e 2 1 p b k 1 h e F N l c V 8 1 M F 8 x N y 5 0 e H Q s M T h 9 J n F 1 b 3 Q 7 L C Z x d W 9 0 O 1 N l Y 3 R p b 2 4 x L 3 g g K D g p L 0 F 1 d G 9 S Z W 1 v d m V k Q 2 9 s d W 1 u c z E u e 2 1 p b k 1 h e F N l c V 8 1 M F 8 x O C 5 0 e H Q s M T l 9 J n F 1 b 3 Q 7 L C Z x d W 9 0 O 1 N l Y 3 R p b 2 4 x L 3 g g K D g p L 0 F 1 d G 9 S Z W 1 v d m V k Q 2 9 s d W 1 u c z E u e 2 1 p b k 1 h e F N l c V 8 1 M F 8 x O S 5 0 e H Q s M j B 9 J n F 1 b 3 Q 7 L C Z x d W 9 0 O 1 N l Y 3 R p b 2 4 x L 3 g g K D g p L 0 F 1 d G 9 S Z W 1 v d m V k Q 2 9 s d W 1 u c z E u e 2 1 p b k 1 h e F N l c V 8 1 M F 8 y M C 5 0 e H Q s M j F 9 J n F 1 b 3 Q 7 L C Z x d W 9 0 O 1 N l Y 3 R p b 2 4 x L 3 g g K D g p L 0 F 1 d G 9 S Z W 1 v d m V k Q 2 9 s d W 1 u c z E u e 2 1 p b k 1 h e F N l c V 8 1 M F 8 y M S 5 0 e H Q s M j J 9 J n F 1 b 3 Q 7 L C Z x d W 9 0 O 1 N l Y 3 R p b 2 4 x L 3 g g K D g p L 0 F 1 d G 9 S Z W 1 v d m V k Q 2 9 s d W 1 u c z E u e 2 1 p b k 1 h e F N l c V 8 1 M F 8 y M i 5 0 e H Q s M j N 9 J n F 1 b 3 Q 7 L C Z x d W 9 0 O 1 N l Y 3 R p b 2 4 x L 3 g g K D g p L 0 F 1 d G 9 S Z W 1 v d m V k Q 2 9 s d W 1 u c z E u e 2 1 p b k 1 h e F N l c V 8 1 M F 8 y M y 5 0 e H Q s M j R 9 J n F 1 b 3 Q 7 L C Z x d W 9 0 O 1 N l Y 3 R p b 2 4 x L 3 g g K D g p L 0 F 1 d G 9 S Z W 1 v d m V k Q 2 9 s d W 1 u c z E u e 2 1 p b k 1 h e F N l c V 8 1 M F 8 y N C 5 0 e H Q s M j V 9 J n F 1 b 3 Q 7 L C Z x d W 9 0 O 1 N l Y 3 R p b 2 4 x L 3 g g K D g p L 0 F 1 d G 9 S Z W 1 v d m V k Q 2 9 s d W 1 u c z E u e 2 1 p b k 1 h e F N l c V 8 1 M F 8 y N S 5 0 e H Q s M j Z 9 J n F 1 b 3 Q 7 L C Z x d W 9 0 O 1 N l Y 3 R p b 2 4 x L 3 g g K D g p L 0 F 1 d G 9 S Z W 1 v d m V k Q 2 9 s d W 1 u c z E u e 2 1 v b n R l U G F y X z U w X z E 1 L n R 4 d C w y N 3 0 m c X V v d D s s J n F 1 b 3 Q 7 U 2 V j d G l v b j E v e C A o O C k v Q X V 0 b 1 J l b W 9 2 Z W R D b 2 x 1 b W 5 z M S 5 7 b W 9 u d G V Q Y X J f N T B f M T Y u d H h 0 L D I 4 f S Z x d W 9 0 O y w m c X V v d D t T Z W N 0 a W 9 u M S 9 4 I C g 4 K S 9 B d X R v U m V t b 3 Z l Z E N v b H V t b n M x L n t t b 2 5 0 Z V B h c l 8 1 M F 8 x N y 5 0 e H Q s M j l 9 J n F 1 b 3 Q 7 L C Z x d W 9 0 O 1 N l Y 3 R p b 2 4 x L 3 g g K D g p L 0 F 1 d G 9 S Z W 1 v d m V k Q 2 9 s d W 1 u c z E u e 2 1 v b n R l U G F y X z U w X z E 4 L n R 4 d C w z M H 0 m c X V v d D s s J n F 1 b 3 Q 7 U 2 V j d G l v b j E v e C A o O C k v Q X V 0 b 1 J l b W 9 2 Z W R D b 2 x 1 b W 5 z M S 5 7 b W 9 u d G V Q Y X J f N T B f M T k u d H h 0 L D M x f S Z x d W 9 0 O y w m c X V v d D t T Z W N 0 a W 9 u M S 9 4 I C g 4 K S 9 B d X R v U m V t b 3 Z l Z E N v b H V t b n M x L n t t b 2 5 0 Z V B h c l 8 1 M F 8 y M C 5 0 e H Q s M z J 9 J n F 1 b 3 Q 7 L C Z x d W 9 0 O 1 N l Y 3 R p b 2 4 x L 3 g g K D g p L 0 F 1 d G 9 S Z W 1 v d m V k Q 2 9 s d W 1 u c z E u e 2 1 v b n R l U G F y X z U w X z I x L n R 4 d C w z M 3 0 m c X V v d D s s J n F 1 b 3 Q 7 U 2 V j d G l v b j E v e C A o O C k v Q X V 0 b 1 J l b W 9 2 Z W R D b 2 x 1 b W 5 z M S 5 7 b W 9 u d G V Q Y X J f N T B f M j I u d H h 0 L D M 0 f S Z x d W 9 0 O y w m c X V v d D t T Z W N 0 a W 9 u M S 9 4 I C g 4 K S 9 B d X R v U m V t b 3 Z l Z E N v b H V t b n M x L n t t b 2 5 0 Z V B h c l 8 1 M F 8 y M y 5 0 e H Q s M z V 9 J n F 1 b 3 Q 7 L C Z x d W 9 0 O 1 N l Y 3 R p b 2 4 x L 3 g g K D g p L 0 F 1 d G 9 S Z W 1 v d m V k Q 2 9 s d W 1 u c z E u e 2 1 v b n R l U G F y X z U w X z I 0 L n R 4 d C w z N n 0 m c X V v d D s s J n F 1 b 3 Q 7 U 2 V j d G l v b j E v e C A o O C k v Q X V 0 b 1 J l b W 9 2 Z W R D b 2 x 1 b W 5 z M S 5 7 b W 9 u d G V Q Y X J f N T B f M j U u d H h 0 L D M 3 f S Z x d W 9 0 O y w m c X V v d D t T Z W N 0 a W 9 u M S 9 4 I C g 4 K S 9 B d X R v U m V t b 3 Z l Z E N v b H V t b n M x L n t t b 2 5 0 Z V B h c l 8 1 M F 8 y N i 5 0 e H Q s M z h 9 J n F 1 b 3 Q 7 L C Z x d W 9 0 O 1 N l Y 3 R p b 2 4 x L 3 g g K D g p L 0 F 1 d G 9 S Z W 1 v d m V k Q 2 9 s d W 1 u c z E u e 2 1 v b n R l U G F y X z U w X z I 3 L n R 4 d C w z O X 0 m c X V v d D s s J n F 1 b 3 Q 7 U 2 V j d G l v b j E v e C A o O C k v Q X V 0 b 1 J l b W 9 2 Z W R D b 2 x 1 b W 5 z M S 5 7 b W 9 u d G V Q Y X J f N T B f M j g u d H h 0 L D Q w f S Z x d W 9 0 O y w m c X V v d D t T Z W N 0 a W 9 u M S 9 4 I C g 4 K S 9 B d X R v U m V t b 3 Z l Z E N v b H V t b n M x L n t t b 2 5 0 Z V B h c l 8 1 M F 8 y O S 5 0 e H Q s N D F 9 J n F 1 b 3 Q 7 L C Z x d W 9 0 O 1 N l Y 3 R p b 2 4 x L 3 g g K D g p L 0 F 1 d G 9 S Z W 1 v d m V k Q 2 9 s d W 1 u c z E u e 2 1 v b n R l U G F y X z U w X z M w L n R 4 d C w 0 M n 0 m c X V v d D s s J n F 1 b 3 Q 7 U 2 V j d G l v b j E v e C A o O C k v Q X V 0 b 1 J l b W 9 2 Z W R D b 2 x 1 b W 5 z M S 5 7 b W 9 u d G V T Z X F f N T B f M T U u d H h 0 L D Q z f S Z x d W 9 0 O y w m c X V v d D t T Z W N 0 a W 9 u M S 9 4 I C g 4 K S 9 B d X R v U m V t b 3 Z l Z E N v b H V t b n M x L n t t b 2 5 0 Z V N l c V 8 1 M F 8 x N i 5 0 e H Q s N D R 9 J n F 1 b 3 Q 7 L C Z x d W 9 0 O 1 N l Y 3 R p b 2 4 x L 3 g g K D g p L 0 F 1 d G 9 S Z W 1 v d m V k Q 2 9 s d W 1 u c z E u e 2 1 v b n R l U 2 V x X z U w X z E 3 L n R 4 d C w 0 N X 0 m c X V v d D s s J n F 1 b 3 Q 7 U 2 V j d G l v b j E v e C A o O C k v Q X V 0 b 1 J l b W 9 2 Z W R D b 2 x 1 b W 5 z M S 5 7 b W 9 u d G V T Z X F f N T B f M T g u d H h 0 L D Q 2 f S Z x d W 9 0 O y w m c X V v d D t T Z W N 0 a W 9 u M S 9 4 I C g 4 K S 9 B d X R v U m V t b 3 Z l Z E N v b H V t b n M x L n t t b 2 5 0 Z V N l c V 8 1 M F 8 x O S 5 0 e H Q s N D d 9 J n F 1 b 3 Q 7 L C Z x d W 9 0 O 1 N l Y 3 R p b 2 4 x L 3 g g K D g p L 0 F 1 d G 9 S Z W 1 v d m V k Q 2 9 s d W 1 u c z E u e 2 1 v b n R l U 2 V x X z U w X z I w L n R 4 d C w 0 O H 0 m c X V v d D s s J n F 1 b 3 Q 7 U 2 V j d G l v b j E v e C A o O C k v Q X V 0 b 1 J l b W 9 2 Z W R D b 2 x 1 b W 5 z M S 5 7 b W 9 u d G V T Z X F f N T B f M j E u d H h 0 L D Q 5 f S Z x d W 9 0 O y w m c X V v d D t T Z W N 0 a W 9 u M S 9 4 I C g 4 K S 9 B d X R v U m V t b 3 Z l Z E N v b H V t b n M x L n t t b 2 5 0 Z V N l c V 8 1 M F 8 y M i 5 0 e H Q s N T B 9 J n F 1 b 3 Q 7 L C Z x d W 9 0 O 1 N l Y 3 R p b 2 4 x L 3 g g K D g p L 0 F 1 d G 9 S Z W 1 v d m V k Q 2 9 s d W 1 u c z E u e 2 1 v b n R l U 2 V x X z U w X z I z L n R 4 d C w 1 M X 0 m c X V v d D s s J n F 1 b 3 Q 7 U 2 V j d G l v b j E v e C A o O C k v Q X V 0 b 1 J l b W 9 2 Z W R D b 2 x 1 b W 5 z M S 5 7 b W 9 u d G V T Z X F f N T B f M j Q u d H h 0 L D U y f S Z x d W 9 0 O y w m c X V v d D t T Z W N 0 a W 9 u M S 9 4 I C g 4 K S 9 B d X R v U m V t b 3 Z l Z E N v b H V t b n M x L n t t b 2 5 0 Z V N l c V 8 1 M F 8 y N S 5 0 e H Q s N T N 9 J n F 1 b 3 Q 7 X S w m c X V v d D t D b 2 x 1 b W 5 D b 3 V u d C Z x d W 9 0 O z o 1 N C w m c X V v d D t L Z X l D b 2 x 1 b W 5 O Y W 1 l c y Z x d W 9 0 O z p b X S w m c X V v d D t D b 2 x 1 b W 5 J Z G V u d G l 0 a W V z J n F 1 b 3 Q 7 O l s m c X V v d D t T Z W N 0 a W 9 u M S 9 4 I C g 4 K S 9 B d X R v U m V t b 3 Z l Z E N v b H V t b n M x L n t t a W 5 N Y X h Q Y X J f N T B f M T U u d H h 0 L D B 9 J n F 1 b 3 Q 7 L C Z x d W 9 0 O 1 N l Y 3 R p b 2 4 x L 3 g g K D g p L 0 F 1 d G 9 S Z W 1 v d m V k Q 2 9 s d W 1 u c z E u e 2 1 p b k 1 h e F B h c l 8 1 M F 8 x N i 5 0 e H Q s M X 0 m c X V v d D s s J n F 1 b 3 Q 7 U 2 V j d G l v b j E v e C A o O C k v Q X V 0 b 1 J l b W 9 2 Z W R D b 2 x 1 b W 5 z M S 5 7 b W l u T W F 4 U G F y X z U w X z E 3 L n R 4 d C w y f S Z x d W 9 0 O y w m c X V v d D t T Z W N 0 a W 9 u M S 9 4 I C g 4 K S 9 B d X R v U m V t b 3 Z l Z E N v b H V t b n M x L n t t a W 5 N Y X h Q Y X J f N T B f M T g u d H h 0 L D N 9 J n F 1 b 3 Q 7 L C Z x d W 9 0 O 1 N l Y 3 R p b 2 4 x L 3 g g K D g p L 0 F 1 d G 9 S Z W 1 v d m V k Q 2 9 s d W 1 u c z E u e 2 1 p b k 1 h e F B h c l 8 1 M F 8 x O S 5 0 e H Q s N H 0 m c X V v d D s s J n F 1 b 3 Q 7 U 2 V j d G l v b j E v e C A o O C k v Q X V 0 b 1 J l b W 9 2 Z W R D b 2 x 1 b W 5 z M S 5 7 b W l u T W F 4 U G F y X z U w X z I w L n R 4 d C w 1 f S Z x d W 9 0 O y w m c X V v d D t T Z W N 0 a W 9 u M S 9 4 I C g 4 K S 9 B d X R v U m V t b 3 Z l Z E N v b H V t b n M x L n t t a W 5 N Y X h Q Y X J f N T B f M j E u d H h 0 L D Z 9 J n F 1 b 3 Q 7 L C Z x d W 9 0 O 1 N l Y 3 R p b 2 4 x L 3 g g K D g p L 0 F 1 d G 9 S Z W 1 v d m V k Q 2 9 s d W 1 u c z E u e 2 1 p b k 1 h e F B h c l 8 1 M F 8 y M i 5 0 e H Q s N 3 0 m c X V v d D s s J n F 1 b 3 Q 7 U 2 V j d G l v b j E v e C A o O C k v Q X V 0 b 1 J l b W 9 2 Z W R D b 2 x 1 b W 5 z M S 5 7 b W l u T W F 4 U G F y X z U w X z I z L n R 4 d C w 4 f S Z x d W 9 0 O y w m c X V v d D t T Z W N 0 a W 9 u M S 9 4 I C g 4 K S 9 B d X R v U m V t b 3 Z l Z E N v b H V t b n M x L n t t a W 5 N Y X h Q Y X J f N T B f M j Q u d H h 0 L D l 9 J n F 1 b 3 Q 7 L C Z x d W 9 0 O 1 N l Y 3 R p b 2 4 x L 3 g g K D g p L 0 F 1 d G 9 S Z W 1 v d m V k Q 2 9 s d W 1 u c z E u e 2 1 p b k 1 h e F B h c l 8 1 M F 8 y N S 5 0 e H Q s M T B 9 J n F 1 b 3 Q 7 L C Z x d W 9 0 O 1 N l Y 3 R p b 2 4 x L 3 g g K D g p L 0 F 1 d G 9 S Z W 1 v d m V k Q 2 9 s d W 1 u c z E u e 2 1 p b k 1 h e F B h c l 8 1 M F 8 y N i 5 0 e H Q s M T F 9 J n F 1 b 3 Q 7 L C Z x d W 9 0 O 1 N l Y 3 R p b 2 4 x L 3 g g K D g p L 0 F 1 d G 9 S Z W 1 v d m V k Q 2 9 s d W 1 u c z E u e 2 1 p b k 1 h e F B h c l 8 1 M F 8 y N y 5 0 e H Q s M T J 9 J n F 1 b 3 Q 7 L C Z x d W 9 0 O 1 N l Y 3 R p b 2 4 x L 3 g g K D g p L 0 F 1 d G 9 S Z W 1 v d m V k Q 2 9 s d W 1 u c z E u e 2 1 p b k 1 h e F B h c l 8 1 M F 8 y O C 5 0 e H Q s M T N 9 J n F 1 b 3 Q 7 L C Z x d W 9 0 O 1 N l Y 3 R p b 2 4 x L 3 g g K D g p L 0 F 1 d G 9 S Z W 1 v d m V k Q 2 9 s d W 1 u c z E u e 2 1 p b k 1 h e F B h c l 8 1 M F 8 y O S 5 0 e H Q s M T R 9 J n F 1 b 3 Q 7 L C Z x d W 9 0 O 1 N l Y 3 R p b 2 4 x L 3 g g K D g p L 0 F 1 d G 9 S Z W 1 v d m V k Q 2 9 s d W 1 u c z E u e 2 1 p b k 1 h e F B h c l 8 1 M F 8 z M C 5 0 e H Q s M T V 9 J n F 1 b 3 Q 7 L C Z x d W 9 0 O 1 N l Y 3 R p b 2 4 x L 3 g g K D g p L 0 F 1 d G 9 S Z W 1 v d m V k Q 2 9 s d W 1 u c z E u e 2 1 p b k 1 h e F N l c V 8 1 M F 8 x N S 5 0 e H Q s M T Z 9 J n F 1 b 3 Q 7 L C Z x d W 9 0 O 1 N l Y 3 R p b 2 4 x L 3 g g K D g p L 0 F 1 d G 9 S Z W 1 v d m V k Q 2 9 s d W 1 u c z E u e 2 1 p b k 1 h e F N l c V 8 1 M F 8 x N i 5 0 e H Q s M T d 9 J n F 1 b 3 Q 7 L C Z x d W 9 0 O 1 N l Y 3 R p b 2 4 x L 3 g g K D g p L 0 F 1 d G 9 S Z W 1 v d m V k Q 2 9 s d W 1 u c z E u e 2 1 p b k 1 h e F N l c V 8 1 M F 8 x N y 5 0 e H Q s M T h 9 J n F 1 b 3 Q 7 L C Z x d W 9 0 O 1 N l Y 3 R p b 2 4 x L 3 g g K D g p L 0 F 1 d G 9 S Z W 1 v d m V k Q 2 9 s d W 1 u c z E u e 2 1 p b k 1 h e F N l c V 8 1 M F 8 x O C 5 0 e H Q s M T l 9 J n F 1 b 3 Q 7 L C Z x d W 9 0 O 1 N l Y 3 R p b 2 4 x L 3 g g K D g p L 0 F 1 d G 9 S Z W 1 v d m V k Q 2 9 s d W 1 u c z E u e 2 1 p b k 1 h e F N l c V 8 1 M F 8 x O S 5 0 e H Q s M j B 9 J n F 1 b 3 Q 7 L C Z x d W 9 0 O 1 N l Y 3 R p b 2 4 x L 3 g g K D g p L 0 F 1 d G 9 S Z W 1 v d m V k Q 2 9 s d W 1 u c z E u e 2 1 p b k 1 h e F N l c V 8 1 M F 8 y M C 5 0 e H Q s M j F 9 J n F 1 b 3 Q 7 L C Z x d W 9 0 O 1 N l Y 3 R p b 2 4 x L 3 g g K D g p L 0 F 1 d G 9 S Z W 1 v d m V k Q 2 9 s d W 1 u c z E u e 2 1 p b k 1 h e F N l c V 8 1 M F 8 y M S 5 0 e H Q s M j J 9 J n F 1 b 3 Q 7 L C Z x d W 9 0 O 1 N l Y 3 R p b 2 4 x L 3 g g K D g p L 0 F 1 d G 9 S Z W 1 v d m V k Q 2 9 s d W 1 u c z E u e 2 1 p b k 1 h e F N l c V 8 1 M F 8 y M i 5 0 e H Q s M j N 9 J n F 1 b 3 Q 7 L C Z x d W 9 0 O 1 N l Y 3 R p b 2 4 x L 3 g g K D g p L 0 F 1 d G 9 S Z W 1 v d m V k Q 2 9 s d W 1 u c z E u e 2 1 p b k 1 h e F N l c V 8 1 M F 8 y M y 5 0 e H Q s M j R 9 J n F 1 b 3 Q 7 L C Z x d W 9 0 O 1 N l Y 3 R p b 2 4 x L 3 g g K D g p L 0 F 1 d G 9 S Z W 1 v d m V k Q 2 9 s d W 1 u c z E u e 2 1 p b k 1 h e F N l c V 8 1 M F 8 y N C 5 0 e H Q s M j V 9 J n F 1 b 3 Q 7 L C Z x d W 9 0 O 1 N l Y 3 R p b 2 4 x L 3 g g K D g p L 0 F 1 d G 9 S Z W 1 v d m V k Q 2 9 s d W 1 u c z E u e 2 1 p b k 1 h e F N l c V 8 1 M F 8 y N S 5 0 e H Q s M j Z 9 J n F 1 b 3 Q 7 L C Z x d W 9 0 O 1 N l Y 3 R p b 2 4 x L 3 g g K D g p L 0 F 1 d G 9 S Z W 1 v d m V k Q 2 9 s d W 1 u c z E u e 2 1 v b n R l U G F y X z U w X z E 1 L n R 4 d C w y N 3 0 m c X V v d D s s J n F 1 b 3 Q 7 U 2 V j d G l v b j E v e C A o O C k v Q X V 0 b 1 J l b W 9 2 Z W R D b 2 x 1 b W 5 z M S 5 7 b W 9 u d G V Q Y X J f N T B f M T Y u d H h 0 L D I 4 f S Z x d W 9 0 O y w m c X V v d D t T Z W N 0 a W 9 u M S 9 4 I C g 4 K S 9 B d X R v U m V t b 3 Z l Z E N v b H V t b n M x L n t t b 2 5 0 Z V B h c l 8 1 M F 8 x N y 5 0 e H Q s M j l 9 J n F 1 b 3 Q 7 L C Z x d W 9 0 O 1 N l Y 3 R p b 2 4 x L 3 g g K D g p L 0 F 1 d G 9 S Z W 1 v d m V k Q 2 9 s d W 1 u c z E u e 2 1 v b n R l U G F y X z U w X z E 4 L n R 4 d C w z M H 0 m c X V v d D s s J n F 1 b 3 Q 7 U 2 V j d G l v b j E v e C A o O C k v Q X V 0 b 1 J l b W 9 2 Z W R D b 2 x 1 b W 5 z M S 5 7 b W 9 u d G V Q Y X J f N T B f M T k u d H h 0 L D M x f S Z x d W 9 0 O y w m c X V v d D t T Z W N 0 a W 9 u M S 9 4 I C g 4 K S 9 B d X R v U m V t b 3 Z l Z E N v b H V t b n M x L n t t b 2 5 0 Z V B h c l 8 1 M F 8 y M C 5 0 e H Q s M z J 9 J n F 1 b 3 Q 7 L C Z x d W 9 0 O 1 N l Y 3 R p b 2 4 x L 3 g g K D g p L 0 F 1 d G 9 S Z W 1 v d m V k Q 2 9 s d W 1 u c z E u e 2 1 v b n R l U G F y X z U w X z I x L n R 4 d C w z M 3 0 m c X V v d D s s J n F 1 b 3 Q 7 U 2 V j d G l v b j E v e C A o O C k v Q X V 0 b 1 J l b W 9 2 Z W R D b 2 x 1 b W 5 z M S 5 7 b W 9 u d G V Q Y X J f N T B f M j I u d H h 0 L D M 0 f S Z x d W 9 0 O y w m c X V v d D t T Z W N 0 a W 9 u M S 9 4 I C g 4 K S 9 B d X R v U m V t b 3 Z l Z E N v b H V t b n M x L n t t b 2 5 0 Z V B h c l 8 1 M F 8 y M y 5 0 e H Q s M z V 9 J n F 1 b 3 Q 7 L C Z x d W 9 0 O 1 N l Y 3 R p b 2 4 x L 3 g g K D g p L 0 F 1 d G 9 S Z W 1 v d m V k Q 2 9 s d W 1 u c z E u e 2 1 v b n R l U G F y X z U w X z I 0 L n R 4 d C w z N n 0 m c X V v d D s s J n F 1 b 3 Q 7 U 2 V j d G l v b j E v e C A o O C k v Q X V 0 b 1 J l b W 9 2 Z W R D b 2 x 1 b W 5 z M S 5 7 b W 9 u d G V Q Y X J f N T B f M j U u d H h 0 L D M 3 f S Z x d W 9 0 O y w m c X V v d D t T Z W N 0 a W 9 u M S 9 4 I C g 4 K S 9 B d X R v U m V t b 3 Z l Z E N v b H V t b n M x L n t t b 2 5 0 Z V B h c l 8 1 M F 8 y N i 5 0 e H Q s M z h 9 J n F 1 b 3 Q 7 L C Z x d W 9 0 O 1 N l Y 3 R p b 2 4 x L 3 g g K D g p L 0 F 1 d G 9 S Z W 1 v d m V k Q 2 9 s d W 1 u c z E u e 2 1 v b n R l U G F y X z U w X z I 3 L n R 4 d C w z O X 0 m c X V v d D s s J n F 1 b 3 Q 7 U 2 V j d G l v b j E v e C A o O C k v Q X V 0 b 1 J l b W 9 2 Z W R D b 2 x 1 b W 5 z M S 5 7 b W 9 u d G V Q Y X J f N T B f M j g u d H h 0 L D Q w f S Z x d W 9 0 O y w m c X V v d D t T Z W N 0 a W 9 u M S 9 4 I C g 4 K S 9 B d X R v U m V t b 3 Z l Z E N v b H V t b n M x L n t t b 2 5 0 Z V B h c l 8 1 M F 8 y O S 5 0 e H Q s N D F 9 J n F 1 b 3 Q 7 L C Z x d W 9 0 O 1 N l Y 3 R p b 2 4 x L 3 g g K D g p L 0 F 1 d G 9 S Z W 1 v d m V k Q 2 9 s d W 1 u c z E u e 2 1 v b n R l U G F y X z U w X z M w L n R 4 d C w 0 M n 0 m c X V v d D s s J n F 1 b 3 Q 7 U 2 V j d G l v b j E v e C A o O C k v Q X V 0 b 1 J l b W 9 2 Z W R D b 2 x 1 b W 5 z M S 5 7 b W 9 u d G V T Z X F f N T B f M T U u d H h 0 L D Q z f S Z x d W 9 0 O y w m c X V v d D t T Z W N 0 a W 9 u M S 9 4 I C g 4 K S 9 B d X R v U m V t b 3 Z l Z E N v b H V t b n M x L n t t b 2 5 0 Z V N l c V 8 1 M F 8 x N i 5 0 e H Q s N D R 9 J n F 1 b 3 Q 7 L C Z x d W 9 0 O 1 N l Y 3 R p b 2 4 x L 3 g g K D g p L 0 F 1 d G 9 S Z W 1 v d m V k Q 2 9 s d W 1 u c z E u e 2 1 v b n R l U 2 V x X z U w X z E 3 L n R 4 d C w 0 N X 0 m c X V v d D s s J n F 1 b 3 Q 7 U 2 V j d G l v b j E v e C A o O C k v Q X V 0 b 1 J l b W 9 2 Z W R D b 2 x 1 b W 5 z M S 5 7 b W 9 u d G V T Z X F f N T B f M T g u d H h 0 L D Q 2 f S Z x d W 9 0 O y w m c X V v d D t T Z W N 0 a W 9 u M S 9 4 I C g 4 K S 9 B d X R v U m V t b 3 Z l Z E N v b H V t b n M x L n t t b 2 5 0 Z V N l c V 8 1 M F 8 x O S 5 0 e H Q s N D d 9 J n F 1 b 3 Q 7 L C Z x d W 9 0 O 1 N l Y 3 R p b 2 4 x L 3 g g K D g p L 0 F 1 d G 9 S Z W 1 v d m V k Q 2 9 s d W 1 u c z E u e 2 1 v b n R l U 2 V x X z U w X z I w L n R 4 d C w 0 O H 0 m c X V v d D s s J n F 1 b 3 Q 7 U 2 V j d G l v b j E v e C A o O C k v Q X V 0 b 1 J l b W 9 2 Z W R D b 2 x 1 b W 5 z M S 5 7 b W 9 u d G V T Z X F f N T B f M j E u d H h 0 L D Q 5 f S Z x d W 9 0 O y w m c X V v d D t T Z W N 0 a W 9 u M S 9 4 I C g 4 K S 9 B d X R v U m V t b 3 Z l Z E N v b H V t b n M x L n t t b 2 5 0 Z V N l c V 8 1 M F 8 y M i 5 0 e H Q s N T B 9 J n F 1 b 3 Q 7 L C Z x d W 9 0 O 1 N l Y 3 R p b 2 4 x L 3 g g K D g p L 0 F 1 d G 9 S Z W 1 v d m V k Q 2 9 s d W 1 u c z E u e 2 1 v b n R l U 2 V x X z U w X z I z L n R 4 d C w 1 M X 0 m c X V v d D s s J n F 1 b 3 Q 7 U 2 V j d G l v b j E v e C A o O C k v Q X V 0 b 1 J l b W 9 2 Z W R D b 2 x 1 b W 5 z M S 5 7 b W 9 u d G V T Z X F f N T B f M j Q u d H h 0 L D U y f S Z x d W 9 0 O y w m c X V v d D t T Z W N 0 a W 9 u M S 9 4 I C g 4 K S 9 B d X R v U m V t b 3 Z l Z E N v b H V t b n M x L n t t b 2 5 0 Z V N l c V 8 1 M F 8 y N S 5 0 e H Q s N T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4 J T I w K D g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g l M j A o O C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4 J T I w K D g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g l M j A o O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4 X 1 8 5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x L T I 4 V D I y O j Q y O j U 1 L j I 5 M j Q 1 O T l a I i A v P j x F b n R y e S B U e X B l P S J G a W x s Q 2 9 s d W 1 u V H l w Z X M i I F Z h b H V l P S J z Q l F V R k J R V U Z C U V V G Q l F V R k J R V U Z C U V V G Q l F V R k J R V U Z C U V V G Q l F V R k J R V U Z C U V V G Q l F V R k J R V U Z C U V V G Q l F V R k J R V U Z C U V V G I i A v P j x F b n R y e S B U e X B l P S J G a W x s Q 2 9 s d W 1 u T m F t Z X M i I F Z h b H V l P S J z W y Z x d W 9 0 O 2 1 p b k 1 h e F B h c l 8 1 M F 8 x N S 5 0 e H Q m c X V v d D s s J n F 1 b 3 Q 7 b W l u T W F 4 U G F y X z U w X z E 2 L n R 4 d C Z x d W 9 0 O y w m c X V v d D t t a W 5 N Y X h Q Y X J f N T B f M T c u d H h 0 J n F 1 b 3 Q 7 L C Z x d W 9 0 O 2 1 p b k 1 h e F B h c l 8 1 M F 8 x O C 5 0 e H Q m c X V v d D s s J n F 1 b 3 Q 7 b W l u T W F 4 U G F y X z U w X z E 5 L n R 4 d C Z x d W 9 0 O y w m c X V v d D t t a W 5 N Y X h Q Y X J f N T B f M j A u d H h 0 J n F 1 b 3 Q 7 L C Z x d W 9 0 O 2 1 p b k 1 h e F B h c l 8 1 M F 8 y M S 5 0 e H Q m c X V v d D s s J n F 1 b 3 Q 7 b W l u T W F 4 U G F y X z U w X z I y L n R 4 d C Z x d W 9 0 O y w m c X V v d D t t a W 5 N Y X h Q Y X J f N T B f M j M u d H h 0 J n F 1 b 3 Q 7 L C Z x d W 9 0 O 2 1 p b k 1 h e F B h c l 8 1 M F 8 y N C 5 0 e H Q m c X V v d D s s J n F 1 b 3 Q 7 b W l u T W F 4 U G F y X z U w X z I 1 L n R 4 d C Z x d W 9 0 O y w m c X V v d D t t a W 5 N Y X h Q Y X J f N T B f M j Y u d H h 0 J n F 1 b 3 Q 7 L C Z x d W 9 0 O 2 1 p b k 1 h e F B h c l 8 1 M F 8 y N y 5 0 e H Q m c X V v d D s s J n F 1 b 3 Q 7 b W l u T W F 4 U G F y X z U w X z I 4 L n R 4 d C Z x d W 9 0 O y w m c X V v d D t t a W 5 N Y X h Q Y X J f N T B f M j k u d H h 0 J n F 1 b 3 Q 7 L C Z x d W 9 0 O 2 1 p b k 1 h e F B h c l 8 1 M F 8 z M C 5 0 e H Q m c X V v d D s s J n F 1 b 3 Q 7 b W l u T W F 4 U 2 V x X z U w X z E 1 L n R 4 d C Z x d W 9 0 O y w m c X V v d D t t a W 5 N Y X h T Z X F f N T B f M T Y u d H h 0 J n F 1 b 3 Q 7 L C Z x d W 9 0 O 2 1 p b k 1 h e F N l c V 8 1 M F 8 x N y 5 0 e H Q m c X V v d D s s J n F 1 b 3 Q 7 b W l u T W F 4 U 2 V x X z U w X z E 4 L n R 4 d C Z x d W 9 0 O y w m c X V v d D t t a W 5 N Y X h T Z X F f N T B f M T k u d H h 0 J n F 1 b 3 Q 7 L C Z x d W 9 0 O 2 1 p b k 1 h e F N l c V 8 1 M F 8 y M C 5 0 e H Q m c X V v d D s s J n F 1 b 3 Q 7 b W l u T W F 4 U 2 V x X z U w X z I x L n R 4 d C Z x d W 9 0 O y w m c X V v d D t t a W 5 N Y X h T Z X F f N T B f M j I u d H h 0 J n F 1 b 3 Q 7 L C Z x d W 9 0 O 2 1 p b k 1 h e F N l c V 8 1 M F 8 y M y 5 0 e H Q m c X V v d D s s J n F 1 b 3 Q 7 b W l u T W F 4 U 2 V x X z U w X z I 0 L n R 4 d C Z x d W 9 0 O y w m c X V v d D t t a W 5 N Y X h T Z X F f N T B f M j U u d H h 0 J n F 1 b 3 Q 7 L C Z x d W 9 0 O 2 1 v b n R l U G F y X z U w X z E 1 L n R 4 d C Z x d W 9 0 O y w m c X V v d D t t b 2 5 0 Z V B h c l 8 1 M F 8 x N i 5 0 e H Q m c X V v d D s s J n F 1 b 3 Q 7 b W 9 u d G V Q Y X J f N T B f M T c u d H h 0 J n F 1 b 3 Q 7 L C Z x d W 9 0 O 2 1 v b n R l U G F y X z U w X z E 4 L n R 4 d C Z x d W 9 0 O y w m c X V v d D t t b 2 5 0 Z V B h c l 8 1 M F 8 x O S 5 0 e H Q m c X V v d D s s J n F 1 b 3 Q 7 b W 9 u d G V Q Y X J f N T B f M j A u d H h 0 J n F 1 b 3 Q 7 L C Z x d W 9 0 O 2 1 v b n R l U G F y X z U w X z I x L n R 4 d C Z x d W 9 0 O y w m c X V v d D t t b 2 5 0 Z V B h c l 8 1 M F 8 y M i 5 0 e H Q m c X V v d D s s J n F 1 b 3 Q 7 b W 9 u d G V Q Y X J f N T B f M j M u d H h 0 J n F 1 b 3 Q 7 L C Z x d W 9 0 O 2 1 v b n R l U G F y X z U w X z I 0 L n R 4 d C Z x d W 9 0 O y w m c X V v d D t t b 2 5 0 Z V B h c l 8 1 M F 8 y N S 5 0 e H Q m c X V v d D s s J n F 1 b 3 Q 7 b W 9 u d G V Q Y X J f N T B f M j Y u d H h 0 J n F 1 b 3 Q 7 L C Z x d W 9 0 O 2 1 v b n R l U G F y X z U w X z I 3 L n R 4 d C Z x d W 9 0 O y w m c X V v d D t t b 2 5 0 Z V B h c l 8 1 M F 8 y O C 5 0 e H Q m c X V v d D s s J n F 1 b 3 Q 7 b W 9 u d G V Q Y X J f N T B f M j k u d H h 0 J n F 1 b 3 Q 7 L C Z x d W 9 0 O 2 1 v b n R l U G F y X z U w X z M w L n R 4 d C Z x d W 9 0 O y w m c X V v d D t t b 2 5 0 Z V N l c V 8 1 M F 8 x N S 5 0 e H Q m c X V v d D s s J n F 1 b 3 Q 7 b W 9 u d G V T Z X F f N T B f M T Y u d H h 0 J n F 1 b 3 Q 7 L C Z x d W 9 0 O 2 1 v b n R l U 2 V x X z U w X z E 3 L n R 4 d C Z x d W 9 0 O y w m c X V v d D t t b 2 5 0 Z V N l c V 8 1 M F 8 x O C 5 0 e H Q m c X V v d D s s J n F 1 b 3 Q 7 b W 9 u d G V T Z X F f N T B f M T k u d H h 0 J n F 1 b 3 Q 7 L C Z x d W 9 0 O 2 1 v b n R l U 2 V x X z U w X z I w L n R 4 d C Z x d W 9 0 O y w m c X V v d D t t b 2 5 0 Z V N l c V 8 1 M F 8 y M S 5 0 e H Q m c X V v d D s s J n F 1 b 3 Q 7 b W 9 u d G V T Z X F f N T B f M j I u d H h 0 J n F 1 b 3 Q 7 L C Z x d W 9 0 O 2 1 v b n R l U 2 V x X z U w X z I z L n R 4 d C Z x d W 9 0 O y w m c X V v d D t t b 2 5 0 Z V N l c V 8 1 M F 8 y N C 5 0 e H Q m c X V v d D s s J n F 1 b 3 Q 7 b W 9 u d G V T Z X F f N T B f M j U u d H h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g g K D k p L 0 F 1 d G 9 S Z W 1 v d m V k Q 2 9 s d W 1 u c z E u e 2 1 p b k 1 h e F B h c l 8 1 M F 8 x N S 5 0 e H Q s M H 0 m c X V v d D s s J n F 1 b 3 Q 7 U 2 V j d G l v b j E v e C A o O S k v Q X V 0 b 1 J l b W 9 2 Z W R D b 2 x 1 b W 5 z M S 5 7 b W l u T W F 4 U G F y X z U w X z E 2 L n R 4 d C w x f S Z x d W 9 0 O y w m c X V v d D t T Z W N 0 a W 9 u M S 9 4 I C g 5 K S 9 B d X R v U m V t b 3 Z l Z E N v b H V t b n M x L n t t a W 5 N Y X h Q Y X J f N T B f M T c u d H h 0 L D J 9 J n F 1 b 3 Q 7 L C Z x d W 9 0 O 1 N l Y 3 R p b 2 4 x L 3 g g K D k p L 0 F 1 d G 9 S Z W 1 v d m V k Q 2 9 s d W 1 u c z E u e 2 1 p b k 1 h e F B h c l 8 1 M F 8 x O C 5 0 e H Q s M 3 0 m c X V v d D s s J n F 1 b 3 Q 7 U 2 V j d G l v b j E v e C A o O S k v Q X V 0 b 1 J l b W 9 2 Z W R D b 2 x 1 b W 5 z M S 5 7 b W l u T W F 4 U G F y X z U w X z E 5 L n R 4 d C w 0 f S Z x d W 9 0 O y w m c X V v d D t T Z W N 0 a W 9 u M S 9 4 I C g 5 K S 9 B d X R v U m V t b 3 Z l Z E N v b H V t b n M x L n t t a W 5 N Y X h Q Y X J f N T B f M j A u d H h 0 L D V 9 J n F 1 b 3 Q 7 L C Z x d W 9 0 O 1 N l Y 3 R p b 2 4 x L 3 g g K D k p L 0 F 1 d G 9 S Z W 1 v d m V k Q 2 9 s d W 1 u c z E u e 2 1 p b k 1 h e F B h c l 8 1 M F 8 y M S 5 0 e H Q s N n 0 m c X V v d D s s J n F 1 b 3 Q 7 U 2 V j d G l v b j E v e C A o O S k v Q X V 0 b 1 J l b W 9 2 Z W R D b 2 x 1 b W 5 z M S 5 7 b W l u T W F 4 U G F y X z U w X z I y L n R 4 d C w 3 f S Z x d W 9 0 O y w m c X V v d D t T Z W N 0 a W 9 u M S 9 4 I C g 5 K S 9 B d X R v U m V t b 3 Z l Z E N v b H V t b n M x L n t t a W 5 N Y X h Q Y X J f N T B f M j M u d H h 0 L D h 9 J n F 1 b 3 Q 7 L C Z x d W 9 0 O 1 N l Y 3 R p b 2 4 x L 3 g g K D k p L 0 F 1 d G 9 S Z W 1 v d m V k Q 2 9 s d W 1 u c z E u e 2 1 p b k 1 h e F B h c l 8 1 M F 8 y N C 5 0 e H Q s O X 0 m c X V v d D s s J n F 1 b 3 Q 7 U 2 V j d G l v b j E v e C A o O S k v Q X V 0 b 1 J l b W 9 2 Z W R D b 2 x 1 b W 5 z M S 5 7 b W l u T W F 4 U G F y X z U w X z I 1 L n R 4 d C w x M H 0 m c X V v d D s s J n F 1 b 3 Q 7 U 2 V j d G l v b j E v e C A o O S k v Q X V 0 b 1 J l b W 9 2 Z W R D b 2 x 1 b W 5 z M S 5 7 b W l u T W F 4 U G F y X z U w X z I 2 L n R 4 d C w x M X 0 m c X V v d D s s J n F 1 b 3 Q 7 U 2 V j d G l v b j E v e C A o O S k v Q X V 0 b 1 J l b W 9 2 Z W R D b 2 x 1 b W 5 z M S 5 7 b W l u T W F 4 U G F y X z U w X z I 3 L n R 4 d C w x M n 0 m c X V v d D s s J n F 1 b 3 Q 7 U 2 V j d G l v b j E v e C A o O S k v Q X V 0 b 1 J l b W 9 2 Z W R D b 2 x 1 b W 5 z M S 5 7 b W l u T W F 4 U G F y X z U w X z I 4 L n R 4 d C w x M 3 0 m c X V v d D s s J n F 1 b 3 Q 7 U 2 V j d G l v b j E v e C A o O S k v Q X V 0 b 1 J l b W 9 2 Z W R D b 2 x 1 b W 5 z M S 5 7 b W l u T W F 4 U G F y X z U w X z I 5 L n R 4 d C w x N H 0 m c X V v d D s s J n F 1 b 3 Q 7 U 2 V j d G l v b j E v e C A o O S k v Q X V 0 b 1 J l b W 9 2 Z W R D b 2 x 1 b W 5 z M S 5 7 b W l u T W F 4 U G F y X z U w X z M w L n R 4 d C w x N X 0 m c X V v d D s s J n F 1 b 3 Q 7 U 2 V j d G l v b j E v e C A o O S k v Q X V 0 b 1 J l b W 9 2 Z W R D b 2 x 1 b W 5 z M S 5 7 b W l u T W F 4 U 2 V x X z U w X z E 1 L n R 4 d C w x N n 0 m c X V v d D s s J n F 1 b 3 Q 7 U 2 V j d G l v b j E v e C A o O S k v Q X V 0 b 1 J l b W 9 2 Z W R D b 2 x 1 b W 5 z M S 5 7 b W l u T W F 4 U 2 V x X z U w X z E 2 L n R 4 d C w x N 3 0 m c X V v d D s s J n F 1 b 3 Q 7 U 2 V j d G l v b j E v e C A o O S k v Q X V 0 b 1 J l b W 9 2 Z W R D b 2 x 1 b W 5 z M S 5 7 b W l u T W F 4 U 2 V x X z U w X z E 3 L n R 4 d C w x O H 0 m c X V v d D s s J n F 1 b 3 Q 7 U 2 V j d G l v b j E v e C A o O S k v Q X V 0 b 1 J l b W 9 2 Z W R D b 2 x 1 b W 5 z M S 5 7 b W l u T W F 4 U 2 V x X z U w X z E 4 L n R 4 d C w x O X 0 m c X V v d D s s J n F 1 b 3 Q 7 U 2 V j d G l v b j E v e C A o O S k v Q X V 0 b 1 J l b W 9 2 Z W R D b 2 x 1 b W 5 z M S 5 7 b W l u T W F 4 U 2 V x X z U w X z E 5 L n R 4 d C w y M H 0 m c X V v d D s s J n F 1 b 3 Q 7 U 2 V j d G l v b j E v e C A o O S k v Q X V 0 b 1 J l b W 9 2 Z W R D b 2 x 1 b W 5 z M S 5 7 b W l u T W F 4 U 2 V x X z U w X z I w L n R 4 d C w y M X 0 m c X V v d D s s J n F 1 b 3 Q 7 U 2 V j d G l v b j E v e C A o O S k v Q X V 0 b 1 J l b W 9 2 Z W R D b 2 x 1 b W 5 z M S 5 7 b W l u T W F 4 U 2 V x X z U w X z I x L n R 4 d C w y M n 0 m c X V v d D s s J n F 1 b 3 Q 7 U 2 V j d G l v b j E v e C A o O S k v Q X V 0 b 1 J l b W 9 2 Z W R D b 2 x 1 b W 5 z M S 5 7 b W l u T W F 4 U 2 V x X z U w X z I y L n R 4 d C w y M 3 0 m c X V v d D s s J n F 1 b 3 Q 7 U 2 V j d G l v b j E v e C A o O S k v Q X V 0 b 1 J l b W 9 2 Z W R D b 2 x 1 b W 5 z M S 5 7 b W l u T W F 4 U 2 V x X z U w X z I z L n R 4 d C w y N H 0 m c X V v d D s s J n F 1 b 3 Q 7 U 2 V j d G l v b j E v e C A o O S k v Q X V 0 b 1 J l b W 9 2 Z W R D b 2 x 1 b W 5 z M S 5 7 b W l u T W F 4 U 2 V x X z U w X z I 0 L n R 4 d C w y N X 0 m c X V v d D s s J n F 1 b 3 Q 7 U 2 V j d G l v b j E v e C A o O S k v Q X V 0 b 1 J l b W 9 2 Z W R D b 2 x 1 b W 5 z M S 5 7 b W l u T W F 4 U 2 V x X z U w X z I 1 L n R 4 d C w y N n 0 m c X V v d D s s J n F 1 b 3 Q 7 U 2 V j d G l v b j E v e C A o O S k v Q X V 0 b 1 J l b W 9 2 Z W R D b 2 x 1 b W 5 z M S 5 7 b W 9 u d G V Q Y X J f N T B f M T U u d H h 0 L D I 3 f S Z x d W 9 0 O y w m c X V v d D t T Z W N 0 a W 9 u M S 9 4 I C g 5 K S 9 B d X R v U m V t b 3 Z l Z E N v b H V t b n M x L n t t b 2 5 0 Z V B h c l 8 1 M F 8 x N i 5 0 e H Q s M j h 9 J n F 1 b 3 Q 7 L C Z x d W 9 0 O 1 N l Y 3 R p b 2 4 x L 3 g g K D k p L 0 F 1 d G 9 S Z W 1 v d m V k Q 2 9 s d W 1 u c z E u e 2 1 v b n R l U G F y X z U w X z E 3 L n R 4 d C w y O X 0 m c X V v d D s s J n F 1 b 3 Q 7 U 2 V j d G l v b j E v e C A o O S k v Q X V 0 b 1 J l b W 9 2 Z W R D b 2 x 1 b W 5 z M S 5 7 b W 9 u d G V Q Y X J f N T B f M T g u d H h 0 L D M w f S Z x d W 9 0 O y w m c X V v d D t T Z W N 0 a W 9 u M S 9 4 I C g 5 K S 9 B d X R v U m V t b 3 Z l Z E N v b H V t b n M x L n t t b 2 5 0 Z V B h c l 8 1 M F 8 x O S 5 0 e H Q s M z F 9 J n F 1 b 3 Q 7 L C Z x d W 9 0 O 1 N l Y 3 R p b 2 4 x L 3 g g K D k p L 0 F 1 d G 9 S Z W 1 v d m V k Q 2 9 s d W 1 u c z E u e 2 1 v b n R l U G F y X z U w X z I w L n R 4 d C w z M n 0 m c X V v d D s s J n F 1 b 3 Q 7 U 2 V j d G l v b j E v e C A o O S k v Q X V 0 b 1 J l b W 9 2 Z W R D b 2 x 1 b W 5 z M S 5 7 b W 9 u d G V Q Y X J f N T B f M j E u d H h 0 L D M z f S Z x d W 9 0 O y w m c X V v d D t T Z W N 0 a W 9 u M S 9 4 I C g 5 K S 9 B d X R v U m V t b 3 Z l Z E N v b H V t b n M x L n t t b 2 5 0 Z V B h c l 8 1 M F 8 y M i 5 0 e H Q s M z R 9 J n F 1 b 3 Q 7 L C Z x d W 9 0 O 1 N l Y 3 R p b 2 4 x L 3 g g K D k p L 0 F 1 d G 9 S Z W 1 v d m V k Q 2 9 s d W 1 u c z E u e 2 1 v b n R l U G F y X z U w X z I z L n R 4 d C w z N X 0 m c X V v d D s s J n F 1 b 3 Q 7 U 2 V j d G l v b j E v e C A o O S k v Q X V 0 b 1 J l b W 9 2 Z W R D b 2 x 1 b W 5 z M S 5 7 b W 9 u d G V Q Y X J f N T B f M j Q u d H h 0 L D M 2 f S Z x d W 9 0 O y w m c X V v d D t T Z W N 0 a W 9 u M S 9 4 I C g 5 K S 9 B d X R v U m V t b 3 Z l Z E N v b H V t b n M x L n t t b 2 5 0 Z V B h c l 8 1 M F 8 y N S 5 0 e H Q s M z d 9 J n F 1 b 3 Q 7 L C Z x d W 9 0 O 1 N l Y 3 R p b 2 4 x L 3 g g K D k p L 0 F 1 d G 9 S Z W 1 v d m V k Q 2 9 s d W 1 u c z E u e 2 1 v b n R l U G F y X z U w X z I 2 L n R 4 d C w z O H 0 m c X V v d D s s J n F 1 b 3 Q 7 U 2 V j d G l v b j E v e C A o O S k v Q X V 0 b 1 J l b W 9 2 Z W R D b 2 x 1 b W 5 z M S 5 7 b W 9 u d G V Q Y X J f N T B f M j c u d H h 0 L D M 5 f S Z x d W 9 0 O y w m c X V v d D t T Z W N 0 a W 9 u M S 9 4 I C g 5 K S 9 B d X R v U m V t b 3 Z l Z E N v b H V t b n M x L n t t b 2 5 0 Z V B h c l 8 1 M F 8 y O C 5 0 e H Q s N D B 9 J n F 1 b 3 Q 7 L C Z x d W 9 0 O 1 N l Y 3 R p b 2 4 x L 3 g g K D k p L 0 F 1 d G 9 S Z W 1 v d m V k Q 2 9 s d W 1 u c z E u e 2 1 v b n R l U G F y X z U w X z I 5 L n R 4 d C w 0 M X 0 m c X V v d D s s J n F 1 b 3 Q 7 U 2 V j d G l v b j E v e C A o O S k v Q X V 0 b 1 J l b W 9 2 Z W R D b 2 x 1 b W 5 z M S 5 7 b W 9 u d G V Q Y X J f N T B f M z A u d H h 0 L D Q y f S Z x d W 9 0 O y w m c X V v d D t T Z W N 0 a W 9 u M S 9 4 I C g 5 K S 9 B d X R v U m V t b 3 Z l Z E N v b H V t b n M x L n t t b 2 5 0 Z V N l c V 8 1 M F 8 x N S 5 0 e H Q s N D N 9 J n F 1 b 3 Q 7 L C Z x d W 9 0 O 1 N l Y 3 R p b 2 4 x L 3 g g K D k p L 0 F 1 d G 9 S Z W 1 v d m V k Q 2 9 s d W 1 u c z E u e 2 1 v b n R l U 2 V x X z U w X z E 2 L n R 4 d C w 0 N H 0 m c X V v d D s s J n F 1 b 3 Q 7 U 2 V j d G l v b j E v e C A o O S k v Q X V 0 b 1 J l b W 9 2 Z W R D b 2 x 1 b W 5 z M S 5 7 b W 9 u d G V T Z X F f N T B f M T c u d H h 0 L D Q 1 f S Z x d W 9 0 O y w m c X V v d D t T Z W N 0 a W 9 u M S 9 4 I C g 5 K S 9 B d X R v U m V t b 3 Z l Z E N v b H V t b n M x L n t t b 2 5 0 Z V N l c V 8 1 M F 8 x O C 5 0 e H Q s N D Z 9 J n F 1 b 3 Q 7 L C Z x d W 9 0 O 1 N l Y 3 R p b 2 4 x L 3 g g K D k p L 0 F 1 d G 9 S Z W 1 v d m V k Q 2 9 s d W 1 u c z E u e 2 1 v b n R l U 2 V x X z U w X z E 5 L n R 4 d C w 0 N 3 0 m c X V v d D s s J n F 1 b 3 Q 7 U 2 V j d G l v b j E v e C A o O S k v Q X V 0 b 1 J l b W 9 2 Z W R D b 2 x 1 b W 5 z M S 5 7 b W 9 u d G V T Z X F f N T B f M j A u d H h 0 L D Q 4 f S Z x d W 9 0 O y w m c X V v d D t T Z W N 0 a W 9 u M S 9 4 I C g 5 K S 9 B d X R v U m V t b 3 Z l Z E N v b H V t b n M x L n t t b 2 5 0 Z V N l c V 8 1 M F 8 y M S 5 0 e H Q s N D l 9 J n F 1 b 3 Q 7 L C Z x d W 9 0 O 1 N l Y 3 R p b 2 4 x L 3 g g K D k p L 0 F 1 d G 9 S Z W 1 v d m V k Q 2 9 s d W 1 u c z E u e 2 1 v b n R l U 2 V x X z U w X z I y L n R 4 d C w 1 M H 0 m c X V v d D s s J n F 1 b 3 Q 7 U 2 V j d G l v b j E v e C A o O S k v Q X V 0 b 1 J l b W 9 2 Z W R D b 2 x 1 b W 5 z M S 5 7 b W 9 u d G V T Z X F f N T B f M j M u d H h 0 L D U x f S Z x d W 9 0 O y w m c X V v d D t T Z W N 0 a W 9 u M S 9 4 I C g 5 K S 9 B d X R v U m V t b 3 Z l Z E N v b H V t b n M x L n t t b 2 5 0 Z V N l c V 8 1 M F 8 y N C 5 0 e H Q s N T J 9 J n F 1 b 3 Q 7 L C Z x d W 9 0 O 1 N l Y 3 R p b 2 4 x L 3 g g K D k p L 0 F 1 d G 9 S Z W 1 v d m V k Q 2 9 s d W 1 u c z E u e 2 1 v b n R l U 2 V x X z U w X z I 1 L n R 4 d C w 1 M 3 0 m c X V v d D t d L C Z x d W 9 0 O 0 N v b H V t b k N v d W 5 0 J n F 1 b 3 Q 7 O j U 0 L C Z x d W 9 0 O 0 t l e U N v b H V t b k 5 h b W V z J n F 1 b 3 Q 7 O l t d L C Z x d W 9 0 O 0 N v b H V t b k l k Z W 5 0 a X R p Z X M m c X V v d D s 6 W y Z x d W 9 0 O 1 N l Y 3 R p b 2 4 x L 3 g g K D k p L 0 F 1 d G 9 S Z W 1 v d m V k Q 2 9 s d W 1 u c z E u e 2 1 p b k 1 h e F B h c l 8 1 M F 8 x N S 5 0 e H Q s M H 0 m c X V v d D s s J n F 1 b 3 Q 7 U 2 V j d G l v b j E v e C A o O S k v Q X V 0 b 1 J l b W 9 2 Z W R D b 2 x 1 b W 5 z M S 5 7 b W l u T W F 4 U G F y X z U w X z E 2 L n R 4 d C w x f S Z x d W 9 0 O y w m c X V v d D t T Z W N 0 a W 9 u M S 9 4 I C g 5 K S 9 B d X R v U m V t b 3 Z l Z E N v b H V t b n M x L n t t a W 5 N Y X h Q Y X J f N T B f M T c u d H h 0 L D J 9 J n F 1 b 3 Q 7 L C Z x d W 9 0 O 1 N l Y 3 R p b 2 4 x L 3 g g K D k p L 0 F 1 d G 9 S Z W 1 v d m V k Q 2 9 s d W 1 u c z E u e 2 1 p b k 1 h e F B h c l 8 1 M F 8 x O C 5 0 e H Q s M 3 0 m c X V v d D s s J n F 1 b 3 Q 7 U 2 V j d G l v b j E v e C A o O S k v Q X V 0 b 1 J l b W 9 2 Z W R D b 2 x 1 b W 5 z M S 5 7 b W l u T W F 4 U G F y X z U w X z E 5 L n R 4 d C w 0 f S Z x d W 9 0 O y w m c X V v d D t T Z W N 0 a W 9 u M S 9 4 I C g 5 K S 9 B d X R v U m V t b 3 Z l Z E N v b H V t b n M x L n t t a W 5 N Y X h Q Y X J f N T B f M j A u d H h 0 L D V 9 J n F 1 b 3 Q 7 L C Z x d W 9 0 O 1 N l Y 3 R p b 2 4 x L 3 g g K D k p L 0 F 1 d G 9 S Z W 1 v d m V k Q 2 9 s d W 1 u c z E u e 2 1 p b k 1 h e F B h c l 8 1 M F 8 y M S 5 0 e H Q s N n 0 m c X V v d D s s J n F 1 b 3 Q 7 U 2 V j d G l v b j E v e C A o O S k v Q X V 0 b 1 J l b W 9 2 Z W R D b 2 x 1 b W 5 z M S 5 7 b W l u T W F 4 U G F y X z U w X z I y L n R 4 d C w 3 f S Z x d W 9 0 O y w m c X V v d D t T Z W N 0 a W 9 u M S 9 4 I C g 5 K S 9 B d X R v U m V t b 3 Z l Z E N v b H V t b n M x L n t t a W 5 N Y X h Q Y X J f N T B f M j M u d H h 0 L D h 9 J n F 1 b 3 Q 7 L C Z x d W 9 0 O 1 N l Y 3 R p b 2 4 x L 3 g g K D k p L 0 F 1 d G 9 S Z W 1 v d m V k Q 2 9 s d W 1 u c z E u e 2 1 p b k 1 h e F B h c l 8 1 M F 8 y N C 5 0 e H Q s O X 0 m c X V v d D s s J n F 1 b 3 Q 7 U 2 V j d G l v b j E v e C A o O S k v Q X V 0 b 1 J l b W 9 2 Z W R D b 2 x 1 b W 5 z M S 5 7 b W l u T W F 4 U G F y X z U w X z I 1 L n R 4 d C w x M H 0 m c X V v d D s s J n F 1 b 3 Q 7 U 2 V j d G l v b j E v e C A o O S k v Q X V 0 b 1 J l b W 9 2 Z W R D b 2 x 1 b W 5 z M S 5 7 b W l u T W F 4 U G F y X z U w X z I 2 L n R 4 d C w x M X 0 m c X V v d D s s J n F 1 b 3 Q 7 U 2 V j d G l v b j E v e C A o O S k v Q X V 0 b 1 J l b W 9 2 Z W R D b 2 x 1 b W 5 z M S 5 7 b W l u T W F 4 U G F y X z U w X z I 3 L n R 4 d C w x M n 0 m c X V v d D s s J n F 1 b 3 Q 7 U 2 V j d G l v b j E v e C A o O S k v Q X V 0 b 1 J l b W 9 2 Z W R D b 2 x 1 b W 5 z M S 5 7 b W l u T W F 4 U G F y X z U w X z I 4 L n R 4 d C w x M 3 0 m c X V v d D s s J n F 1 b 3 Q 7 U 2 V j d G l v b j E v e C A o O S k v Q X V 0 b 1 J l b W 9 2 Z W R D b 2 x 1 b W 5 z M S 5 7 b W l u T W F 4 U G F y X z U w X z I 5 L n R 4 d C w x N H 0 m c X V v d D s s J n F 1 b 3 Q 7 U 2 V j d G l v b j E v e C A o O S k v Q X V 0 b 1 J l b W 9 2 Z W R D b 2 x 1 b W 5 z M S 5 7 b W l u T W F 4 U G F y X z U w X z M w L n R 4 d C w x N X 0 m c X V v d D s s J n F 1 b 3 Q 7 U 2 V j d G l v b j E v e C A o O S k v Q X V 0 b 1 J l b W 9 2 Z W R D b 2 x 1 b W 5 z M S 5 7 b W l u T W F 4 U 2 V x X z U w X z E 1 L n R 4 d C w x N n 0 m c X V v d D s s J n F 1 b 3 Q 7 U 2 V j d G l v b j E v e C A o O S k v Q X V 0 b 1 J l b W 9 2 Z W R D b 2 x 1 b W 5 z M S 5 7 b W l u T W F 4 U 2 V x X z U w X z E 2 L n R 4 d C w x N 3 0 m c X V v d D s s J n F 1 b 3 Q 7 U 2 V j d G l v b j E v e C A o O S k v Q X V 0 b 1 J l b W 9 2 Z W R D b 2 x 1 b W 5 z M S 5 7 b W l u T W F 4 U 2 V x X z U w X z E 3 L n R 4 d C w x O H 0 m c X V v d D s s J n F 1 b 3 Q 7 U 2 V j d G l v b j E v e C A o O S k v Q X V 0 b 1 J l b W 9 2 Z W R D b 2 x 1 b W 5 z M S 5 7 b W l u T W F 4 U 2 V x X z U w X z E 4 L n R 4 d C w x O X 0 m c X V v d D s s J n F 1 b 3 Q 7 U 2 V j d G l v b j E v e C A o O S k v Q X V 0 b 1 J l b W 9 2 Z W R D b 2 x 1 b W 5 z M S 5 7 b W l u T W F 4 U 2 V x X z U w X z E 5 L n R 4 d C w y M H 0 m c X V v d D s s J n F 1 b 3 Q 7 U 2 V j d G l v b j E v e C A o O S k v Q X V 0 b 1 J l b W 9 2 Z W R D b 2 x 1 b W 5 z M S 5 7 b W l u T W F 4 U 2 V x X z U w X z I w L n R 4 d C w y M X 0 m c X V v d D s s J n F 1 b 3 Q 7 U 2 V j d G l v b j E v e C A o O S k v Q X V 0 b 1 J l b W 9 2 Z W R D b 2 x 1 b W 5 z M S 5 7 b W l u T W F 4 U 2 V x X z U w X z I x L n R 4 d C w y M n 0 m c X V v d D s s J n F 1 b 3 Q 7 U 2 V j d G l v b j E v e C A o O S k v Q X V 0 b 1 J l b W 9 2 Z W R D b 2 x 1 b W 5 z M S 5 7 b W l u T W F 4 U 2 V x X z U w X z I y L n R 4 d C w y M 3 0 m c X V v d D s s J n F 1 b 3 Q 7 U 2 V j d G l v b j E v e C A o O S k v Q X V 0 b 1 J l b W 9 2 Z W R D b 2 x 1 b W 5 z M S 5 7 b W l u T W F 4 U 2 V x X z U w X z I z L n R 4 d C w y N H 0 m c X V v d D s s J n F 1 b 3 Q 7 U 2 V j d G l v b j E v e C A o O S k v Q X V 0 b 1 J l b W 9 2 Z W R D b 2 x 1 b W 5 z M S 5 7 b W l u T W F 4 U 2 V x X z U w X z I 0 L n R 4 d C w y N X 0 m c X V v d D s s J n F 1 b 3 Q 7 U 2 V j d G l v b j E v e C A o O S k v Q X V 0 b 1 J l b W 9 2 Z W R D b 2 x 1 b W 5 z M S 5 7 b W l u T W F 4 U 2 V x X z U w X z I 1 L n R 4 d C w y N n 0 m c X V v d D s s J n F 1 b 3 Q 7 U 2 V j d G l v b j E v e C A o O S k v Q X V 0 b 1 J l b W 9 2 Z W R D b 2 x 1 b W 5 z M S 5 7 b W 9 u d G V Q Y X J f N T B f M T U u d H h 0 L D I 3 f S Z x d W 9 0 O y w m c X V v d D t T Z W N 0 a W 9 u M S 9 4 I C g 5 K S 9 B d X R v U m V t b 3 Z l Z E N v b H V t b n M x L n t t b 2 5 0 Z V B h c l 8 1 M F 8 x N i 5 0 e H Q s M j h 9 J n F 1 b 3 Q 7 L C Z x d W 9 0 O 1 N l Y 3 R p b 2 4 x L 3 g g K D k p L 0 F 1 d G 9 S Z W 1 v d m V k Q 2 9 s d W 1 u c z E u e 2 1 v b n R l U G F y X z U w X z E 3 L n R 4 d C w y O X 0 m c X V v d D s s J n F 1 b 3 Q 7 U 2 V j d G l v b j E v e C A o O S k v Q X V 0 b 1 J l b W 9 2 Z W R D b 2 x 1 b W 5 z M S 5 7 b W 9 u d G V Q Y X J f N T B f M T g u d H h 0 L D M w f S Z x d W 9 0 O y w m c X V v d D t T Z W N 0 a W 9 u M S 9 4 I C g 5 K S 9 B d X R v U m V t b 3 Z l Z E N v b H V t b n M x L n t t b 2 5 0 Z V B h c l 8 1 M F 8 x O S 5 0 e H Q s M z F 9 J n F 1 b 3 Q 7 L C Z x d W 9 0 O 1 N l Y 3 R p b 2 4 x L 3 g g K D k p L 0 F 1 d G 9 S Z W 1 v d m V k Q 2 9 s d W 1 u c z E u e 2 1 v b n R l U G F y X z U w X z I w L n R 4 d C w z M n 0 m c X V v d D s s J n F 1 b 3 Q 7 U 2 V j d G l v b j E v e C A o O S k v Q X V 0 b 1 J l b W 9 2 Z W R D b 2 x 1 b W 5 z M S 5 7 b W 9 u d G V Q Y X J f N T B f M j E u d H h 0 L D M z f S Z x d W 9 0 O y w m c X V v d D t T Z W N 0 a W 9 u M S 9 4 I C g 5 K S 9 B d X R v U m V t b 3 Z l Z E N v b H V t b n M x L n t t b 2 5 0 Z V B h c l 8 1 M F 8 y M i 5 0 e H Q s M z R 9 J n F 1 b 3 Q 7 L C Z x d W 9 0 O 1 N l Y 3 R p b 2 4 x L 3 g g K D k p L 0 F 1 d G 9 S Z W 1 v d m V k Q 2 9 s d W 1 u c z E u e 2 1 v b n R l U G F y X z U w X z I z L n R 4 d C w z N X 0 m c X V v d D s s J n F 1 b 3 Q 7 U 2 V j d G l v b j E v e C A o O S k v Q X V 0 b 1 J l b W 9 2 Z W R D b 2 x 1 b W 5 z M S 5 7 b W 9 u d G V Q Y X J f N T B f M j Q u d H h 0 L D M 2 f S Z x d W 9 0 O y w m c X V v d D t T Z W N 0 a W 9 u M S 9 4 I C g 5 K S 9 B d X R v U m V t b 3 Z l Z E N v b H V t b n M x L n t t b 2 5 0 Z V B h c l 8 1 M F 8 y N S 5 0 e H Q s M z d 9 J n F 1 b 3 Q 7 L C Z x d W 9 0 O 1 N l Y 3 R p b 2 4 x L 3 g g K D k p L 0 F 1 d G 9 S Z W 1 v d m V k Q 2 9 s d W 1 u c z E u e 2 1 v b n R l U G F y X z U w X z I 2 L n R 4 d C w z O H 0 m c X V v d D s s J n F 1 b 3 Q 7 U 2 V j d G l v b j E v e C A o O S k v Q X V 0 b 1 J l b W 9 2 Z W R D b 2 x 1 b W 5 z M S 5 7 b W 9 u d G V Q Y X J f N T B f M j c u d H h 0 L D M 5 f S Z x d W 9 0 O y w m c X V v d D t T Z W N 0 a W 9 u M S 9 4 I C g 5 K S 9 B d X R v U m V t b 3 Z l Z E N v b H V t b n M x L n t t b 2 5 0 Z V B h c l 8 1 M F 8 y O C 5 0 e H Q s N D B 9 J n F 1 b 3 Q 7 L C Z x d W 9 0 O 1 N l Y 3 R p b 2 4 x L 3 g g K D k p L 0 F 1 d G 9 S Z W 1 v d m V k Q 2 9 s d W 1 u c z E u e 2 1 v b n R l U G F y X z U w X z I 5 L n R 4 d C w 0 M X 0 m c X V v d D s s J n F 1 b 3 Q 7 U 2 V j d G l v b j E v e C A o O S k v Q X V 0 b 1 J l b W 9 2 Z W R D b 2 x 1 b W 5 z M S 5 7 b W 9 u d G V Q Y X J f N T B f M z A u d H h 0 L D Q y f S Z x d W 9 0 O y w m c X V v d D t T Z W N 0 a W 9 u M S 9 4 I C g 5 K S 9 B d X R v U m V t b 3 Z l Z E N v b H V t b n M x L n t t b 2 5 0 Z V N l c V 8 1 M F 8 x N S 5 0 e H Q s N D N 9 J n F 1 b 3 Q 7 L C Z x d W 9 0 O 1 N l Y 3 R p b 2 4 x L 3 g g K D k p L 0 F 1 d G 9 S Z W 1 v d m V k Q 2 9 s d W 1 u c z E u e 2 1 v b n R l U 2 V x X z U w X z E 2 L n R 4 d C w 0 N H 0 m c X V v d D s s J n F 1 b 3 Q 7 U 2 V j d G l v b j E v e C A o O S k v Q X V 0 b 1 J l b W 9 2 Z W R D b 2 x 1 b W 5 z M S 5 7 b W 9 u d G V T Z X F f N T B f M T c u d H h 0 L D Q 1 f S Z x d W 9 0 O y w m c X V v d D t T Z W N 0 a W 9 u M S 9 4 I C g 5 K S 9 B d X R v U m V t b 3 Z l Z E N v b H V t b n M x L n t t b 2 5 0 Z V N l c V 8 1 M F 8 x O C 5 0 e H Q s N D Z 9 J n F 1 b 3 Q 7 L C Z x d W 9 0 O 1 N l Y 3 R p b 2 4 x L 3 g g K D k p L 0 F 1 d G 9 S Z W 1 v d m V k Q 2 9 s d W 1 u c z E u e 2 1 v b n R l U 2 V x X z U w X z E 5 L n R 4 d C w 0 N 3 0 m c X V v d D s s J n F 1 b 3 Q 7 U 2 V j d G l v b j E v e C A o O S k v Q X V 0 b 1 J l b W 9 2 Z W R D b 2 x 1 b W 5 z M S 5 7 b W 9 u d G V T Z X F f N T B f M j A u d H h 0 L D Q 4 f S Z x d W 9 0 O y w m c X V v d D t T Z W N 0 a W 9 u M S 9 4 I C g 5 K S 9 B d X R v U m V t b 3 Z l Z E N v b H V t b n M x L n t t b 2 5 0 Z V N l c V 8 1 M F 8 y M S 5 0 e H Q s N D l 9 J n F 1 b 3 Q 7 L C Z x d W 9 0 O 1 N l Y 3 R p b 2 4 x L 3 g g K D k p L 0 F 1 d G 9 S Z W 1 v d m V k Q 2 9 s d W 1 u c z E u e 2 1 v b n R l U 2 V x X z U w X z I y L n R 4 d C w 1 M H 0 m c X V v d D s s J n F 1 b 3 Q 7 U 2 V j d G l v b j E v e C A o O S k v Q X V 0 b 1 J l b W 9 2 Z W R D b 2 x 1 b W 5 z M S 5 7 b W 9 u d G V T Z X F f N T B f M j M u d H h 0 L D U x f S Z x d W 9 0 O y w m c X V v d D t T Z W N 0 a W 9 u M S 9 4 I C g 5 K S 9 B d X R v U m V t b 3 Z l Z E N v b H V t b n M x L n t t b 2 5 0 Z V N l c V 8 1 M F 8 y N C 5 0 e H Q s N T J 9 J n F 1 b 3 Q 7 L C Z x d W 9 0 O 1 N l Y 3 R p b 2 4 x L 3 g g K D k p L 0 F 1 d G 9 S Z W 1 v d m V k Q 2 9 s d W 1 u c z E u e 2 1 v b n R l U 2 V x X z U w X z I 1 L n R 4 d C w 1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g l M j A o O S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C U y M C g 5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g l M j A o O S k v W m 1 p Z W 5 p b 2 5 v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K W F i D d q H t d E o / W L x F M e B Z Q A A A A A A g A A A A A A E G Y A A A A B A A A g A A A A + m E h s l 4 J 4 z 1 9 D q 7 K Q A J A O X P S s n H D f y J V J D x + o B X l y V 4 A A A A A D o A A A A A C A A A g A A A A z M Y G 6 C e K 6 V u x D L v d b 0 O L U K n s S d x h d B e z P I r 4 n V O 8 i M N Q A A A A m 4 6 m t G f D R u h i 2 y H 9 v Q V C a T C U h i l m c i J j C 1 M p F x + d U f K p 9 U X O e m z / b D 5 v q h W a Q 8 j Y W x 3 o w 6 1 u A I A u w F f t y H g 2 c t e q q q v 8 e 0 j p T t j c c s Q 8 w P Z A A A A A m U E W E F 0 3 c F 3 U K u y S u r l S R t 0 g Z N N l N a l G w R Z p c M 8 P N t F f 3 1 B Y t M F J j K X Y 9 I i t y d f q X j y n j Q z B B 5 / e o H Q k u d R O A w = = < / D a t a M a s h u p > 
</file>

<file path=customXml/itemProps1.xml><?xml version="1.0" encoding="utf-8"?>
<ds:datastoreItem xmlns:ds="http://schemas.openxmlformats.org/officeDocument/2006/customXml" ds:itemID="{325A95E1-40E5-4900-86EB-958F097F639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8</vt:i4>
      </vt:variant>
    </vt:vector>
  </HeadingPairs>
  <TitlesOfParts>
    <vt:vector size="8" baseType="lpstr">
      <vt:lpstr>ext_max_max</vt:lpstr>
      <vt:lpstr>done_cos_max_max</vt:lpstr>
      <vt:lpstr>done_ext_max_512</vt:lpstr>
      <vt:lpstr>done_cos_max_512</vt:lpstr>
      <vt:lpstr>done_ext_100_max</vt:lpstr>
      <vt:lpstr>done_cos_100_max</vt:lpstr>
      <vt:lpstr>done_ext_100_512</vt:lpstr>
      <vt:lpstr>done_cos_100_512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2020-11-28T17:47:50Z</dcterms:created>
  <dcterms:modified xsi:type="dcterms:W3CDTF">2020-11-29T19:31:28Z</dcterms:modified>
</cp:coreProperties>
</file>