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monte_carlo_method\"/>
    </mc:Choice>
  </mc:AlternateContent>
  <xr:revisionPtr revIDLastSave="0" documentId="8_{76A055C7-DD13-47E1-99DE-344EE8ED288B}" xr6:coauthVersionLast="45" xr6:coauthVersionMax="45" xr10:uidLastSave="{00000000-0000-0000-0000-000000000000}"/>
  <bookViews>
    <workbookView xWindow="-120" yWindow="-120" windowWidth="38640" windowHeight="21240" xr2:uid="{41484AA8-9C8D-4C19-9927-EC25DA174E51}"/>
  </bookViews>
  <sheets>
    <sheet name="Arkusz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9" i="2" l="1"/>
  <c r="AE31" i="2"/>
  <c r="AD30" i="2"/>
  <c r="AC29" i="2"/>
  <c r="AC6" i="2"/>
  <c r="AD6" i="2"/>
  <c r="AE6" i="2"/>
  <c r="AF6" i="2"/>
  <c r="AC7" i="2"/>
  <c r="AD7" i="2"/>
  <c r="AE7" i="2"/>
  <c r="AF7" i="2"/>
  <c r="AC8" i="2"/>
  <c r="AD8" i="2"/>
  <c r="AE8" i="2"/>
  <c r="AF8" i="2"/>
  <c r="AC9" i="2"/>
  <c r="AD9" i="2"/>
  <c r="AE9" i="2"/>
  <c r="AF9" i="2"/>
  <c r="AC10" i="2"/>
  <c r="AD10" i="2"/>
  <c r="AE10" i="2"/>
  <c r="AF10" i="2"/>
  <c r="AC11" i="2"/>
  <c r="AD11" i="2"/>
  <c r="AE11" i="2"/>
  <c r="AF11" i="2"/>
  <c r="AC12" i="2"/>
  <c r="AD12" i="2"/>
  <c r="AE12" i="2"/>
  <c r="AF12" i="2"/>
  <c r="AC13" i="2"/>
  <c r="AD13" i="2"/>
  <c r="AE13" i="2"/>
  <c r="AF13" i="2"/>
  <c r="AC14" i="2"/>
  <c r="AD14" i="2"/>
  <c r="AE14" i="2"/>
  <c r="AF14" i="2"/>
  <c r="AC15" i="2"/>
  <c r="AD15" i="2"/>
  <c r="AE15" i="2"/>
  <c r="AF15" i="2"/>
  <c r="AC5" i="2"/>
  <c r="AD5" i="2"/>
  <c r="AE5" i="2"/>
  <c r="AF5" i="2"/>
  <c r="AC30" i="2"/>
  <c r="AE30" i="2"/>
  <c r="AF30" i="2"/>
  <c r="AC31" i="2"/>
  <c r="AD31" i="2"/>
  <c r="AF31" i="2"/>
  <c r="AC32" i="2"/>
  <c r="AD32" i="2"/>
  <c r="AE32" i="2"/>
  <c r="AF32" i="2"/>
  <c r="AC33" i="2"/>
  <c r="AD33" i="2"/>
  <c r="AE33" i="2"/>
  <c r="AF33" i="2"/>
  <c r="AC34" i="2"/>
  <c r="AD34" i="2"/>
  <c r="AE34" i="2"/>
  <c r="AF34" i="2"/>
  <c r="AC35" i="2"/>
  <c r="AD35" i="2"/>
  <c r="AE35" i="2"/>
  <c r="AF35" i="2"/>
  <c r="AC36" i="2"/>
  <c r="AD36" i="2"/>
  <c r="AE36" i="2"/>
  <c r="AF36" i="2"/>
  <c r="AC37" i="2"/>
  <c r="AD37" i="2"/>
  <c r="AE37" i="2"/>
  <c r="AF37" i="2"/>
  <c r="AC38" i="2"/>
  <c r="AD38" i="2"/>
  <c r="AE38" i="2"/>
  <c r="AF38" i="2"/>
  <c r="AC39" i="2"/>
  <c r="AE39" i="2"/>
  <c r="AF39" i="2"/>
  <c r="AD29" i="2"/>
  <c r="AE29" i="2"/>
  <c r="AF29" i="2"/>
  <c r="AC79" i="2"/>
  <c r="AD79" i="2"/>
  <c r="AE79" i="2"/>
  <c r="AF79" i="2"/>
  <c r="AC80" i="2"/>
  <c r="AD80" i="2"/>
  <c r="AE80" i="2"/>
  <c r="AF80" i="2"/>
  <c r="AC81" i="2"/>
  <c r="AD81" i="2"/>
  <c r="AE81" i="2"/>
  <c r="AF81" i="2"/>
  <c r="AC82" i="2"/>
  <c r="AD82" i="2"/>
  <c r="AE82" i="2"/>
  <c r="AF82" i="2"/>
  <c r="AC83" i="2"/>
  <c r="AD83" i="2"/>
  <c r="AE83" i="2"/>
  <c r="AF83" i="2"/>
  <c r="AC84" i="2"/>
  <c r="AD84" i="2"/>
  <c r="AE84" i="2"/>
  <c r="AF84" i="2"/>
  <c r="AC85" i="2"/>
  <c r="AD85" i="2"/>
  <c r="AE85" i="2"/>
  <c r="AF85" i="2"/>
  <c r="AC86" i="2"/>
  <c r="AD86" i="2"/>
  <c r="AE86" i="2"/>
  <c r="AF86" i="2"/>
  <c r="AC87" i="2"/>
  <c r="AD87" i="2"/>
  <c r="AE87" i="2"/>
  <c r="AF87" i="2"/>
  <c r="AC88" i="2"/>
  <c r="AD88" i="2"/>
  <c r="AE88" i="2"/>
  <c r="AF88" i="2"/>
  <c r="AC78" i="2"/>
  <c r="AD78" i="2"/>
  <c r="AE78" i="2"/>
  <c r="AF78" i="2"/>
  <c r="AC55" i="2"/>
  <c r="AD55" i="2"/>
  <c r="AE55" i="2"/>
  <c r="AF55" i="2"/>
  <c r="AC56" i="2"/>
  <c r="AD56" i="2"/>
  <c r="AE56" i="2"/>
  <c r="AF56" i="2"/>
  <c r="AC57" i="2"/>
  <c r="AD57" i="2"/>
  <c r="AE57" i="2"/>
  <c r="AF57" i="2"/>
  <c r="AC58" i="2"/>
  <c r="AD58" i="2"/>
  <c r="AE58" i="2"/>
  <c r="AF58" i="2"/>
  <c r="AC59" i="2"/>
  <c r="AD59" i="2"/>
  <c r="AE59" i="2"/>
  <c r="AF59" i="2"/>
  <c r="AC60" i="2"/>
  <c r="AD60" i="2"/>
  <c r="AE60" i="2"/>
  <c r="AF60" i="2"/>
  <c r="AC61" i="2"/>
  <c r="AD61" i="2"/>
  <c r="AE61" i="2"/>
  <c r="AF61" i="2"/>
  <c r="AC62" i="2"/>
  <c r="AD62" i="2"/>
  <c r="AE62" i="2"/>
  <c r="AF62" i="2"/>
  <c r="AC63" i="2"/>
  <c r="AD63" i="2"/>
  <c r="AE63" i="2"/>
  <c r="AF63" i="2"/>
  <c r="AC64" i="2"/>
  <c r="AD64" i="2"/>
  <c r="AE64" i="2"/>
  <c r="AF64" i="2"/>
  <c r="AC54" i="2"/>
  <c r="AD54" i="2"/>
  <c r="AE54" i="2"/>
  <c r="AF54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E54" i="2"/>
  <c r="E55" i="2"/>
  <c r="E56" i="2"/>
  <c r="E57" i="2"/>
  <c r="E58" i="2"/>
  <c r="E59" i="2"/>
  <c r="E60" i="2"/>
  <c r="E61" i="2"/>
  <c r="E62" i="2"/>
  <c r="E63" i="2"/>
  <c r="E64" i="2"/>
  <c r="E78" i="2"/>
  <c r="E79" i="2"/>
  <c r="E80" i="2"/>
  <c r="E81" i="2"/>
  <c r="E82" i="2"/>
  <c r="E83" i="2"/>
  <c r="E84" i="2"/>
  <c r="E85" i="2"/>
  <c r="E86" i="2"/>
  <c r="E87" i="2"/>
  <c r="E88" i="2"/>
  <c r="Q93" i="2"/>
  <c r="Y93" i="2" s="1"/>
  <c r="P93" i="2"/>
  <c r="X93" i="2" s="1"/>
  <c r="O93" i="2"/>
  <c r="W93" i="2" s="1"/>
  <c r="N93" i="2"/>
  <c r="V93" i="2" s="1"/>
  <c r="Q92" i="2"/>
  <c r="Y92" i="2" s="1"/>
  <c r="P92" i="2"/>
  <c r="X92" i="2" s="1"/>
  <c r="O92" i="2"/>
  <c r="W92" i="2" s="1"/>
  <c r="N92" i="2"/>
  <c r="V92" i="2" s="1"/>
  <c r="Q91" i="2"/>
  <c r="Y91" i="2" s="1"/>
  <c r="P91" i="2"/>
  <c r="X91" i="2" s="1"/>
  <c r="O91" i="2"/>
  <c r="W91" i="2" s="1"/>
  <c r="N91" i="2"/>
  <c r="V91" i="2" s="1"/>
  <c r="Q90" i="2"/>
  <c r="Y90" i="2" s="1"/>
  <c r="P90" i="2"/>
  <c r="X90" i="2" s="1"/>
  <c r="O90" i="2"/>
  <c r="W90" i="2" s="1"/>
  <c r="N90" i="2"/>
  <c r="V90" i="2" s="1"/>
  <c r="Q89" i="2"/>
  <c r="Y89" i="2" s="1"/>
  <c r="P89" i="2"/>
  <c r="X89" i="2" s="1"/>
  <c r="O89" i="2"/>
  <c r="W89" i="2" s="1"/>
  <c r="N89" i="2"/>
  <c r="V89" i="2" s="1"/>
  <c r="Q88" i="2"/>
  <c r="Y88" i="2" s="1"/>
  <c r="P88" i="2"/>
  <c r="X88" i="2" s="1"/>
  <c r="O88" i="2"/>
  <c r="W88" i="2" s="1"/>
  <c r="N88" i="2"/>
  <c r="V88" i="2" s="1"/>
  <c r="M88" i="2"/>
  <c r="U88" i="2" s="1"/>
  <c r="Q87" i="2"/>
  <c r="Y87" i="2" s="1"/>
  <c r="P87" i="2"/>
  <c r="X87" i="2" s="1"/>
  <c r="O87" i="2"/>
  <c r="W87" i="2" s="1"/>
  <c r="N87" i="2"/>
  <c r="V87" i="2" s="1"/>
  <c r="M87" i="2"/>
  <c r="U87" i="2" s="1"/>
  <c r="Q86" i="2"/>
  <c r="Y86" i="2" s="1"/>
  <c r="P86" i="2"/>
  <c r="X86" i="2" s="1"/>
  <c r="O86" i="2"/>
  <c r="W86" i="2" s="1"/>
  <c r="N86" i="2"/>
  <c r="V86" i="2" s="1"/>
  <c r="M86" i="2"/>
  <c r="U86" i="2" s="1"/>
  <c r="Q85" i="2"/>
  <c r="Y85" i="2" s="1"/>
  <c r="P85" i="2"/>
  <c r="X85" i="2" s="1"/>
  <c r="O85" i="2"/>
  <c r="W85" i="2" s="1"/>
  <c r="N85" i="2"/>
  <c r="V85" i="2" s="1"/>
  <c r="M85" i="2"/>
  <c r="U85" i="2" s="1"/>
  <c r="Q84" i="2"/>
  <c r="Y84" i="2" s="1"/>
  <c r="P84" i="2"/>
  <c r="X84" i="2" s="1"/>
  <c r="O84" i="2"/>
  <c r="W84" i="2" s="1"/>
  <c r="N84" i="2"/>
  <c r="V84" i="2" s="1"/>
  <c r="M84" i="2"/>
  <c r="U84" i="2" s="1"/>
  <c r="Q83" i="2"/>
  <c r="Y83" i="2" s="1"/>
  <c r="P83" i="2"/>
  <c r="X83" i="2" s="1"/>
  <c r="O83" i="2"/>
  <c r="W83" i="2" s="1"/>
  <c r="N83" i="2"/>
  <c r="V83" i="2" s="1"/>
  <c r="M83" i="2"/>
  <c r="U83" i="2" s="1"/>
  <c r="Q82" i="2"/>
  <c r="Y82" i="2" s="1"/>
  <c r="P82" i="2"/>
  <c r="X82" i="2" s="1"/>
  <c r="O82" i="2"/>
  <c r="W82" i="2" s="1"/>
  <c r="N82" i="2"/>
  <c r="V82" i="2" s="1"/>
  <c r="M82" i="2"/>
  <c r="U82" i="2" s="1"/>
  <c r="Q81" i="2"/>
  <c r="Y81" i="2" s="1"/>
  <c r="P81" i="2"/>
  <c r="X81" i="2" s="1"/>
  <c r="O81" i="2"/>
  <c r="W81" i="2" s="1"/>
  <c r="N81" i="2"/>
  <c r="V81" i="2" s="1"/>
  <c r="M81" i="2"/>
  <c r="U81" i="2" s="1"/>
  <c r="Q80" i="2"/>
  <c r="Y80" i="2" s="1"/>
  <c r="P80" i="2"/>
  <c r="X80" i="2" s="1"/>
  <c r="O80" i="2"/>
  <c r="W80" i="2" s="1"/>
  <c r="N80" i="2"/>
  <c r="V80" i="2" s="1"/>
  <c r="M80" i="2"/>
  <c r="U80" i="2" s="1"/>
  <c r="Q79" i="2"/>
  <c r="Y79" i="2" s="1"/>
  <c r="P79" i="2"/>
  <c r="X79" i="2" s="1"/>
  <c r="O79" i="2"/>
  <c r="W79" i="2" s="1"/>
  <c r="N79" i="2"/>
  <c r="V79" i="2" s="1"/>
  <c r="M79" i="2"/>
  <c r="U79" i="2" s="1"/>
  <c r="Q78" i="2"/>
  <c r="Y78" i="2" s="1"/>
  <c r="P78" i="2"/>
  <c r="X78" i="2" s="1"/>
  <c r="O78" i="2"/>
  <c r="W78" i="2" s="1"/>
  <c r="N78" i="2"/>
  <c r="V78" i="2" s="1"/>
  <c r="M78" i="2"/>
  <c r="U78" i="2" s="1"/>
  <c r="Q69" i="2"/>
  <c r="Y69" i="2" s="1"/>
  <c r="P69" i="2"/>
  <c r="X69" i="2" s="1"/>
  <c r="O69" i="2"/>
  <c r="W69" i="2" s="1"/>
  <c r="N69" i="2"/>
  <c r="V69" i="2" s="1"/>
  <c r="Q68" i="2"/>
  <c r="Y68" i="2" s="1"/>
  <c r="P68" i="2"/>
  <c r="X68" i="2" s="1"/>
  <c r="O68" i="2"/>
  <c r="W68" i="2" s="1"/>
  <c r="N68" i="2"/>
  <c r="V68" i="2" s="1"/>
  <c r="Q67" i="2"/>
  <c r="Y67" i="2" s="1"/>
  <c r="P67" i="2"/>
  <c r="X67" i="2" s="1"/>
  <c r="O67" i="2"/>
  <c r="W67" i="2" s="1"/>
  <c r="N67" i="2"/>
  <c r="V67" i="2" s="1"/>
  <c r="Q66" i="2"/>
  <c r="Y66" i="2" s="1"/>
  <c r="P66" i="2"/>
  <c r="X66" i="2" s="1"/>
  <c r="O66" i="2"/>
  <c r="W66" i="2" s="1"/>
  <c r="N66" i="2"/>
  <c r="V66" i="2" s="1"/>
  <c r="Q65" i="2"/>
  <c r="Y65" i="2" s="1"/>
  <c r="P65" i="2"/>
  <c r="X65" i="2" s="1"/>
  <c r="O65" i="2"/>
  <c r="W65" i="2" s="1"/>
  <c r="N65" i="2"/>
  <c r="V65" i="2" s="1"/>
  <c r="Q64" i="2"/>
  <c r="Y64" i="2" s="1"/>
  <c r="P64" i="2"/>
  <c r="X64" i="2" s="1"/>
  <c r="O64" i="2"/>
  <c r="W64" i="2" s="1"/>
  <c r="N64" i="2"/>
  <c r="V64" i="2" s="1"/>
  <c r="M64" i="2"/>
  <c r="U64" i="2" s="1"/>
  <c r="Q63" i="2"/>
  <c r="Y63" i="2" s="1"/>
  <c r="P63" i="2"/>
  <c r="X63" i="2" s="1"/>
  <c r="O63" i="2"/>
  <c r="W63" i="2" s="1"/>
  <c r="N63" i="2"/>
  <c r="V63" i="2" s="1"/>
  <c r="M63" i="2"/>
  <c r="U63" i="2" s="1"/>
  <c r="Q62" i="2"/>
  <c r="Y62" i="2" s="1"/>
  <c r="P62" i="2"/>
  <c r="X62" i="2" s="1"/>
  <c r="O62" i="2"/>
  <c r="W62" i="2" s="1"/>
  <c r="N62" i="2"/>
  <c r="V62" i="2" s="1"/>
  <c r="M62" i="2"/>
  <c r="U62" i="2" s="1"/>
  <c r="Q61" i="2"/>
  <c r="Y61" i="2" s="1"/>
  <c r="P61" i="2"/>
  <c r="X61" i="2" s="1"/>
  <c r="O61" i="2"/>
  <c r="W61" i="2" s="1"/>
  <c r="N61" i="2"/>
  <c r="V61" i="2" s="1"/>
  <c r="M61" i="2"/>
  <c r="U61" i="2" s="1"/>
  <c r="Q60" i="2"/>
  <c r="Y60" i="2" s="1"/>
  <c r="P60" i="2"/>
  <c r="X60" i="2" s="1"/>
  <c r="O60" i="2"/>
  <c r="W60" i="2" s="1"/>
  <c r="N60" i="2"/>
  <c r="V60" i="2" s="1"/>
  <c r="M60" i="2"/>
  <c r="U60" i="2" s="1"/>
  <c r="Q59" i="2"/>
  <c r="Y59" i="2" s="1"/>
  <c r="P59" i="2"/>
  <c r="X59" i="2" s="1"/>
  <c r="O59" i="2"/>
  <c r="W59" i="2" s="1"/>
  <c r="N59" i="2"/>
  <c r="V59" i="2" s="1"/>
  <c r="M59" i="2"/>
  <c r="U59" i="2" s="1"/>
  <c r="Q58" i="2"/>
  <c r="Y58" i="2" s="1"/>
  <c r="P58" i="2"/>
  <c r="X58" i="2" s="1"/>
  <c r="O58" i="2"/>
  <c r="W58" i="2" s="1"/>
  <c r="N58" i="2"/>
  <c r="V58" i="2" s="1"/>
  <c r="M58" i="2"/>
  <c r="U58" i="2" s="1"/>
  <c r="Q57" i="2"/>
  <c r="Y57" i="2" s="1"/>
  <c r="P57" i="2"/>
  <c r="X57" i="2" s="1"/>
  <c r="O57" i="2"/>
  <c r="W57" i="2" s="1"/>
  <c r="N57" i="2"/>
  <c r="V57" i="2" s="1"/>
  <c r="M57" i="2"/>
  <c r="U57" i="2" s="1"/>
  <c r="Q56" i="2"/>
  <c r="Y56" i="2" s="1"/>
  <c r="P56" i="2"/>
  <c r="X56" i="2" s="1"/>
  <c r="O56" i="2"/>
  <c r="W56" i="2" s="1"/>
  <c r="N56" i="2"/>
  <c r="V56" i="2" s="1"/>
  <c r="M56" i="2"/>
  <c r="U56" i="2" s="1"/>
  <c r="Q55" i="2"/>
  <c r="Y55" i="2" s="1"/>
  <c r="P55" i="2"/>
  <c r="X55" i="2" s="1"/>
  <c r="O55" i="2"/>
  <c r="W55" i="2" s="1"/>
  <c r="N55" i="2"/>
  <c r="V55" i="2" s="1"/>
  <c r="M55" i="2"/>
  <c r="U55" i="2" s="1"/>
  <c r="Q54" i="2"/>
  <c r="Y54" i="2" s="1"/>
  <c r="P54" i="2"/>
  <c r="X54" i="2" s="1"/>
  <c r="O54" i="2"/>
  <c r="W54" i="2" s="1"/>
  <c r="N54" i="2"/>
  <c r="V54" i="2" s="1"/>
  <c r="M54" i="2"/>
  <c r="U54" i="2" s="1"/>
  <c r="N44" i="2"/>
  <c r="V44" i="2" s="1"/>
  <c r="F44" i="2"/>
  <c r="N43" i="2"/>
  <c r="V43" i="2" s="1"/>
  <c r="F43" i="2"/>
  <c r="N42" i="2"/>
  <c r="V42" i="2" s="1"/>
  <c r="F42" i="2"/>
  <c r="N41" i="2"/>
  <c r="V41" i="2" s="1"/>
  <c r="F41" i="2"/>
  <c r="N40" i="2"/>
  <c r="V40" i="2" s="1"/>
  <c r="F40" i="2"/>
  <c r="N39" i="2"/>
  <c r="V39" i="2" s="1"/>
  <c r="F39" i="2"/>
  <c r="N38" i="2"/>
  <c r="V38" i="2" s="1"/>
  <c r="F38" i="2"/>
  <c r="N37" i="2"/>
  <c r="V37" i="2" s="1"/>
  <c r="F37" i="2"/>
  <c r="N36" i="2"/>
  <c r="V36" i="2" s="1"/>
  <c r="F36" i="2"/>
  <c r="N35" i="2"/>
  <c r="V35" i="2" s="1"/>
  <c r="F35" i="2"/>
  <c r="N34" i="2"/>
  <c r="V34" i="2" s="1"/>
  <c r="F34" i="2"/>
  <c r="N33" i="2"/>
  <c r="V33" i="2" s="1"/>
  <c r="F33" i="2"/>
  <c r="N32" i="2"/>
  <c r="V32" i="2" s="1"/>
  <c r="F32" i="2"/>
  <c r="N31" i="2"/>
  <c r="V31" i="2" s="1"/>
  <c r="F31" i="2"/>
  <c r="N30" i="2"/>
  <c r="V30" i="2" s="1"/>
  <c r="F30" i="2"/>
  <c r="N29" i="2"/>
  <c r="V29" i="2" s="1"/>
  <c r="F29" i="2"/>
  <c r="M39" i="2"/>
  <c r="E39" i="2"/>
  <c r="M38" i="2"/>
  <c r="E38" i="2"/>
  <c r="M37" i="2"/>
  <c r="E37" i="2"/>
  <c r="M36" i="2"/>
  <c r="U36" i="2" s="1"/>
  <c r="E36" i="2"/>
  <c r="M35" i="2"/>
  <c r="E35" i="2"/>
  <c r="M34" i="2"/>
  <c r="E34" i="2"/>
  <c r="M33" i="2"/>
  <c r="E33" i="2"/>
  <c r="M32" i="2"/>
  <c r="E32" i="2"/>
  <c r="M31" i="2"/>
  <c r="E31" i="2"/>
  <c r="M30" i="2"/>
  <c r="E30" i="2"/>
  <c r="M29" i="2"/>
  <c r="E29" i="2"/>
  <c r="N20" i="2"/>
  <c r="V20" i="2" s="1"/>
  <c r="F20" i="2"/>
  <c r="N19" i="2"/>
  <c r="V19" i="2" s="1"/>
  <c r="F19" i="2"/>
  <c r="N18" i="2"/>
  <c r="V18" i="2" s="1"/>
  <c r="F18" i="2"/>
  <c r="N17" i="2"/>
  <c r="V17" i="2" s="1"/>
  <c r="F17" i="2"/>
  <c r="N16" i="2"/>
  <c r="V16" i="2" s="1"/>
  <c r="F16" i="2"/>
  <c r="N15" i="2"/>
  <c r="V15" i="2" s="1"/>
  <c r="F15" i="2"/>
  <c r="N14" i="2"/>
  <c r="V14" i="2" s="1"/>
  <c r="F14" i="2"/>
  <c r="N13" i="2"/>
  <c r="V13" i="2" s="1"/>
  <c r="F13" i="2"/>
  <c r="N12" i="2"/>
  <c r="V12" i="2" s="1"/>
  <c r="F12" i="2"/>
  <c r="N11" i="2"/>
  <c r="V11" i="2" s="1"/>
  <c r="F11" i="2"/>
  <c r="N10" i="2"/>
  <c r="V10" i="2" s="1"/>
  <c r="F10" i="2"/>
  <c r="N9" i="2"/>
  <c r="V9" i="2" s="1"/>
  <c r="F9" i="2"/>
  <c r="N8" i="2"/>
  <c r="V8" i="2" s="1"/>
  <c r="F8" i="2"/>
  <c r="N7" i="2"/>
  <c r="V7" i="2" s="1"/>
  <c r="F7" i="2"/>
  <c r="N6" i="2"/>
  <c r="V6" i="2" s="1"/>
  <c r="F6" i="2"/>
  <c r="N5" i="2"/>
  <c r="V5" i="2" s="1"/>
  <c r="F5" i="2"/>
  <c r="M15" i="2"/>
  <c r="U15" i="2" s="1"/>
  <c r="E15" i="2"/>
  <c r="M14" i="2"/>
  <c r="U14" i="2" s="1"/>
  <c r="E14" i="2"/>
  <c r="M13" i="2"/>
  <c r="U13" i="2" s="1"/>
  <c r="E13" i="2"/>
  <c r="M12" i="2"/>
  <c r="U12" i="2" s="1"/>
  <c r="E12" i="2"/>
  <c r="M11" i="2"/>
  <c r="U11" i="2" s="1"/>
  <c r="E11" i="2"/>
  <c r="M10" i="2"/>
  <c r="U10" i="2" s="1"/>
  <c r="E10" i="2"/>
  <c r="M9" i="2"/>
  <c r="U9" i="2" s="1"/>
  <c r="E9" i="2"/>
  <c r="M8" i="2"/>
  <c r="U8" i="2" s="1"/>
  <c r="E8" i="2"/>
  <c r="M7" i="2"/>
  <c r="U7" i="2" s="1"/>
  <c r="E7" i="2"/>
  <c r="M6" i="2"/>
  <c r="U6" i="2" s="1"/>
  <c r="E6" i="2"/>
  <c r="M5" i="2"/>
  <c r="U5" i="2" s="1"/>
  <c r="E5" i="2"/>
  <c r="O44" i="2"/>
  <c r="W44" i="2" s="1"/>
  <c r="G44" i="2"/>
  <c r="O43" i="2"/>
  <c r="W43" i="2" s="1"/>
  <c r="G43" i="2"/>
  <c r="O42" i="2"/>
  <c r="W42" i="2" s="1"/>
  <c r="G42" i="2"/>
  <c r="O41" i="2"/>
  <c r="W41" i="2" s="1"/>
  <c r="G41" i="2"/>
  <c r="O40" i="2"/>
  <c r="W40" i="2" s="1"/>
  <c r="G40" i="2"/>
  <c r="O39" i="2"/>
  <c r="W39" i="2" s="1"/>
  <c r="G39" i="2"/>
  <c r="O38" i="2"/>
  <c r="W38" i="2" s="1"/>
  <c r="G38" i="2"/>
  <c r="O37" i="2"/>
  <c r="W37" i="2" s="1"/>
  <c r="G37" i="2"/>
  <c r="O36" i="2"/>
  <c r="W36" i="2" s="1"/>
  <c r="G36" i="2"/>
  <c r="O35" i="2"/>
  <c r="W35" i="2" s="1"/>
  <c r="G35" i="2"/>
  <c r="O34" i="2"/>
  <c r="W34" i="2" s="1"/>
  <c r="G34" i="2"/>
  <c r="O33" i="2"/>
  <c r="W33" i="2" s="1"/>
  <c r="G33" i="2"/>
  <c r="O32" i="2"/>
  <c r="W32" i="2" s="1"/>
  <c r="G32" i="2"/>
  <c r="O31" i="2"/>
  <c r="W31" i="2" s="1"/>
  <c r="G31" i="2"/>
  <c r="O30" i="2"/>
  <c r="W30" i="2" s="1"/>
  <c r="G30" i="2"/>
  <c r="O29" i="2"/>
  <c r="W29" i="2" s="1"/>
  <c r="G29" i="2"/>
  <c r="O20" i="2"/>
  <c r="W20" i="2" s="1"/>
  <c r="G20" i="2"/>
  <c r="O19" i="2"/>
  <c r="W19" i="2" s="1"/>
  <c r="G19" i="2"/>
  <c r="O18" i="2"/>
  <c r="W18" i="2" s="1"/>
  <c r="G18" i="2"/>
  <c r="O17" i="2"/>
  <c r="W17" i="2" s="1"/>
  <c r="G17" i="2"/>
  <c r="O16" i="2"/>
  <c r="W16" i="2" s="1"/>
  <c r="G16" i="2"/>
  <c r="O15" i="2"/>
  <c r="W15" i="2" s="1"/>
  <c r="G15" i="2"/>
  <c r="O14" i="2"/>
  <c r="W14" i="2" s="1"/>
  <c r="G14" i="2"/>
  <c r="O13" i="2"/>
  <c r="W13" i="2" s="1"/>
  <c r="G13" i="2"/>
  <c r="O12" i="2"/>
  <c r="W12" i="2" s="1"/>
  <c r="G12" i="2"/>
  <c r="O11" i="2"/>
  <c r="W11" i="2" s="1"/>
  <c r="G11" i="2"/>
  <c r="O10" i="2"/>
  <c r="W10" i="2" s="1"/>
  <c r="G10" i="2"/>
  <c r="O9" i="2"/>
  <c r="W9" i="2" s="1"/>
  <c r="G9" i="2"/>
  <c r="O8" i="2"/>
  <c r="W8" i="2" s="1"/>
  <c r="G8" i="2"/>
  <c r="O7" i="2"/>
  <c r="W7" i="2" s="1"/>
  <c r="G7" i="2"/>
  <c r="O6" i="2"/>
  <c r="W6" i="2" s="1"/>
  <c r="G6" i="2"/>
  <c r="O5" i="2"/>
  <c r="W5" i="2" s="1"/>
  <c r="G5" i="2"/>
  <c r="P44" i="2"/>
  <c r="X44" i="2" s="1"/>
  <c r="H44" i="2"/>
  <c r="P43" i="2"/>
  <c r="X43" i="2" s="1"/>
  <c r="H43" i="2"/>
  <c r="P42" i="2"/>
  <c r="X42" i="2" s="1"/>
  <c r="H42" i="2"/>
  <c r="P41" i="2"/>
  <c r="X41" i="2" s="1"/>
  <c r="H41" i="2"/>
  <c r="P40" i="2"/>
  <c r="X40" i="2" s="1"/>
  <c r="H40" i="2"/>
  <c r="P39" i="2"/>
  <c r="X39" i="2" s="1"/>
  <c r="H39" i="2"/>
  <c r="P38" i="2"/>
  <c r="X38" i="2" s="1"/>
  <c r="H38" i="2"/>
  <c r="P37" i="2"/>
  <c r="X37" i="2" s="1"/>
  <c r="H37" i="2"/>
  <c r="P36" i="2"/>
  <c r="X36" i="2" s="1"/>
  <c r="H36" i="2"/>
  <c r="P35" i="2"/>
  <c r="X35" i="2" s="1"/>
  <c r="H35" i="2"/>
  <c r="P34" i="2"/>
  <c r="X34" i="2" s="1"/>
  <c r="H34" i="2"/>
  <c r="P33" i="2"/>
  <c r="X33" i="2" s="1"/>
  <c r="H33" i="2"/>
  <c r="P32" i="2"/>
  <c r="X32" i="2" s="1"/>
  <c r="H32" i="2"/>
  <c r="P31" i="2"/>
  <c r="X31" i="2" s="1"/>
  <c r="H31" i="2"/>
  <c r="P30" i="2"/>
  <c r="X30" i="2" s="1"/>
  <c r="H30" i="2"/>
  <c r="P29" i="2"/>
  <c r="X29" i="2" s="1"/>
  <c r="H29" i="2"/>
  <c r="P20" i="2"/>
  <c r="X20" i="2" s="1"/>
  <c r="H20" i="2"/>
  <c r="P19" i="2"/>
  <c r="X19" i="2" s="1"/>
  <c r="H19" i="2"/>
  <c r="P18" i="2"/>
  <c r="X18" i="2" s="1"/>
  <c r="H18" i="2"/>
  <c r="P17" i="2"/>
  <c r="X17" i="2" s="1"/>
  <c r="H17" i="2"/>
  <c r="P16" i="2"/>
  <c r="X16" i="2" s="1"/>
  <c r="H16" i="2"/>
  <c r="P15" i="2"/>
  <c r="X15" i="2" s="1"/>
  <c r="H15" i="2"/>
  <c r="P14" i="2"/>
  <c r="X14" i="2" s="1"/>
  <c r="H14" i="2"/>
  <c r="P13" i="2"/>
  <c r="X13" i="2" s="1"/>
  <c r="H13" i="2"/>
  <c r="P12" i="2"/>
  <c r="X12" i="2" s="1"/>
  <c r="H12" i="2"/>
  <c r="P11" i="2"/>
  <c r="X11" i="2" s="1"/>
  <c r="H11" i="2"/>
  <c r="P10" i="2"/>
  <c r="X10" i="2" s="1"/>
  <c r="H10" i="2"/>
  <c r="P9" i="2"/>
  <c r="X9" i="2" s="1"/>
  <c r="H9" i="2"/>
  <c r="P8" i="2"/>
  <c r="X8" i="2" s="1"/>
  <c r="H8" i="2"/>
  <c r="P7" i="2"/>
  <c r="X7" i="2" s="1"/>
  <c r="H7" i="2"/>
  <c r="P6" i="2"/>
  <c r="X6" i="2" s="1"/>
  <c r="H6" i="2"/>
  <c r="P5" i="2"/>
  <c r="X5" i="2" s="1"/>
  <c r="H5" i="2"/>
  <c r="Q44" i="2"/>
  <c r="Y44" i="2" s="1"/>
  <c r="I44" i="2"/>
  <c r="Q43" i="2"/>
  <c r="Y43" i="2" s="1"/>
  <c r="I43" i="2"/>
  <c r="Q42" i="2"/>
  <c r="Y42" i="2" s="1"/>
  <c r="I42" i="2"/>
  <c r="Q41" i="2"/>
  <c r="Y41" i="2" s="1"/>
  <c r="I41" i="2"/>
  <c r="Q40" i="2"/>
  <c r="Y40" i="2" s="1"/>
  <c r="I40" i="2"/>
  <c r="Q39" i="2"/>
  <c r="Y39" i="2" s="1"/>
  <c r="I39" i="2"/>
  <c r="Q38" i="2"/>
  <c r="Y38" i="2" s="1"/>
  <c r="I38" i="2"/>
  <c r="Q37" i="2"/>
  <c r="Y37" i="2" s="1"/>
  <c r="I37" i="2"/>
  <c r="Q36" i="2"/>
  <c r="Y36" i="2" s="1"/>
  <c r="I36" i="2"/>
  <c r="Q35" i="2"/>
  <c r="Y35" i="2" s="1"/>
  <c r="I35" i="2"/>
  <c r="Q34" i="2"/>
  <c r="Y34" i="2" s="1"/>
  <c r="I34" i="2"/>
  <c r="Q33" i="2"/>
  <c r="Y33" i="2" s="1"/>
  <c r="I33" i="2"/>
  <c r="Q32" i="2"/>
  <c r="Y32" i="2" s="1"/>
  <c r="I32" i="2"/>
  <c r="Q31" i="2"/>
  <c r="Y31" i="2" s="1"/>
  <c r="I31" i="2"/>
  <c r="Q30" i="2"/>
  <c r="Y30" i="2" s="1"/>
  <c r="I30" i="2"/>
  <c r="Q29" i="2"/>
  <c r="Y29" i="2" s="1"/>
  <c r="I29" i="2"/>
  <c r="Q20" i="2"/>
  <c r="Y20" i="2" s="1"/>
  <c r="I20" i="2"/>
  <c r="Q19" i="2"/>
  <c r="Y19" i="2" s="1"/>
  <c r="I19" i="2"/>
  <c r="Q18" i="2"/>
  <c r="Y18" i="2" s="1"/>
  <c r="I18" i="2"/>
  <c r="Q17" i="2"/>
  <c r="Y17" i="2" s="1"/>
  <c r="I17" i="2"/>
  <c r="Q16" i="2"/>
  <c r="Y16" i="2" s="1"/>
  <c r="I16" i="2"/>
  <c r="Q15" i="2"/>
  <c r="Y15" i="2" s="1"/>
  <c r="I15" i="2"/>
  <c r="Q14" i="2"/>
  <c r="Y14" i="2" s="1"/>
  <c r="I14" i="2"/>
  <c r="Q13" i="2"/>
  <c r="Y13" i="2" s="1"/>
  <c r="I13" i="2"/>
  <c r="Q12" i="2"/>
  <c r="Y12" i="2" s="1"/>
  <c r="I12" i="2"/>
  <c r="Q11" i="2"/>
  <c r="Y11" i="2" s="1"/>
  <c r="I11" i="2"/>
  <c r="Q10" i="2"/>
  <c r="Y10" i="2" s="1"/>
  <c r="I10" i="2"/>
  <c r="Q9" i="2"/>
  <c r="Y9" i="2" s="1"/>
  <c r="I9" i="2"/>
  <c r="Q8" i="2"/>
  <c r="Y8" i="2" s="1"/>
  <c r="I8" i="2"/>
  <c r="Q7" i="2"/>
  <c r="Y7" i="2" s="1"/>
  <c r="I7" i="2"/>
  <c r="Q6" i="2"/>
  <c r="Y6" i="2" s="1"/>
  <c r="I6" i="2"/>
  <c r="Q5" i="2"/>
  <c r="Y5" i="2" s="1"/>
  <c r="I5" i="2"/>
  <c r="U29" i="2" l="1"/>
  <c r="U37" i="2"/>
  <c r="U33" i="2"/>
  <c r="U30" i="2"/>
  <c r="U34" i="2"/>
  <c r="U31" i="2"/>
  <c r="U35" i="2"/>
  <c r="U38" i="2"/>
  <c r="U32" i="2"/>
  <c r="U39" i="2"/>
</calcChain>
</file>

<file path=xl/sharedStrings.xml><?xml version="1.0" encoding="utf-8"?>
<sst xmlns="http://schemas.openxmlformats.org/spreadsheetml/2006/main" count="152" uniqueCount="16">
  <si>
    <t>MinMax</t>
  </si>
  <si>
    <t>monte Carlo</t>
  </si>
  <si>
    <t>Sekwencyjne</t>
  </si>
  <si>
    <t>Cosinus</t>
  </si>
  <si>
    <t>Wspołczynnik odchylenia</t>
  </si>
  <si>
    <t>Odchylenie Standardowe</t>
  </si>
  <si>
    <t>Średnie</t>
  </si>
  <si>
    <t>max max</t>
  </si>
  <si>
    <t>max 512</t>
  </si>
  <si>
    <t>100 max</t>
  </si>
  <si>
    <t>Zaawansowana</t>
  </si>
  <si>
    <t>Wielokrotność zysku</t>
  </si>
  <si>
    <t>cos min max</t>
  </si>
  <si>
    <t>cos monte carlo</t>
  </si>
  <si>
    <t>złożona min max</t>
  </si>
  <si>
    <t>złożona monte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</si>
</sst>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textRotation="90"/>
    </xf>
    <xf numFmtId="0" fontId="3" fillId="0" borderId="0" xfId="0" applyFont="1" applyAlignment="1">
      <alignment horizontal="center" vertical="center"/>
    </xf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0" fontId="3" fillId="0" borderId="0" xfId="0" applyFont="1" applyAlignment="1">
      <alignment vertical="center"/>
    </xf>
    <xf numFmtId="2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 funkcji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Arkusz!$F$122:$F$123</c:f>
              <c:strCache>
                <c:ptCount val="2"/>
                <c:pt idx="0">
                  <c:v>cos min 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Arkusz!$E$124:$E$139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cat>
          <c:val>
            <c:numRef>
              <c:f>Arkusz!$F$124:$F$139</c:f>
              <c:numCache>
                <c:formatCode>General</c:formatCode>
                <c:ptCount val="16"/>
                <c:pt idx="0">
                  <c:v>5.4357420000000004E-3</c:v>
                </c:pt>
                <c:pt idx="1">
                  <c:v>1.0932134000000003E-2</c:v>
                </c:pt>
                <c:pt idx="2">
                  <c:v>2.2631022000000001E-2</c:v>
                </c:pt>
                <c:pt idx="3">
                  <c:v>4.3343595999999998E-2</c:v>
                </c:pt>
                <c:pt idx="4">
                  <c:v>8.5688996000000003E-2</c:v>
                </c:pt>
                <c:pt idx="5">
                  <c:v>0.16995272000000003</c:v>
                </c:pt>
                <c:pt idx="6">
                  <c:v>0.33908366000000006</c:v>
                </c:pt>
                <c:pt idx="7">
                  <c:v>0.67660519999999991</c:v>
                </c:pt>
                <c:pt idx="8">
                  <c:v>1.3568824000000002</c:v>
                </c:pt>
                <c:pt idx="9">
                  <c:v>2.7074564000000003</c:v>
                </c:pt>
                <c:pt idx="10">
                  <c:v>5.4162542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2-4896-989A-5EEC15166D41}"/>
            </c:ext>
          </c:extLst>
        </c:ser>
        <c:ser>
          <c:idx val="1"/>
          <c:order val="1"/>
          <c:tx>
            <c:strRef>
              <c:f>Arkusz!$G$122:$G$123</c:f>
              <c:strCache>
                <c:ptCount val="2"/>
                <c:pt idx="0">
                  <c:v>cos min 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Arkusz!$E$124:$E$139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cat>
          <c:val>
            <c:numRef>
              <c:f>Arkusz!$G$124:$G$139</c:f>
              <c:numCache>
                <c:formatCode>General</c:formatCode>
                <c:ptCount val="16"/>
                <c:pt idx="0">
                  <c:v>1.7328460000000003E-3</c:v>
                </c:pt>
                <c:pt idx="1">
                  <c:v>1.7155719999999996E-3</c:v>
                </c:pt>
                <c:pt idx="2">
                  <c:v>1.74092E-3</c:v>
                </c:pt>
                <c:pt idx="3">
                  <c:v>1.8278340000000006E-3</c:v>
                </c:pt>
                <c:pt idx="4">
                  <c:v>1.8092780000000001E-3</c:v>
                </c:pt>
                <c:pt idx="5">
                  <c:v>2.574228E-3</c:v>
                </c:pt>
                <c:pt idx="6">
                  <c:v>2.6995419999999997E-3</c:v>
                </c:pt>
                <c:pt idx="7">
                  <c:v>3.9051880000000004E-3</c:v>
                </c:pt>
                <c:pt idx="8">
                  <c:v>6.1296839999999998E-3</c:v>
                </c:pt>
                <c:pt idx="9">
                  <c:v>1.0301429999999999E-2</c:v>
                </c:pt>
                <c:pt idx="10">
                  <c:v>1.8721632000000002E-2</c:v>
                </c:pt>
                <c:pt idx="11">
                  <c:v>3.5551110000000004E-2</c:v>
                </c:pt>
                <c:pt idx="12">
                  <c:v>6.9445668000000002E-2</c:v>
                </c:pt>
                <c:pt idx="13">
                  <c:v>0.13680924</c:v>
                </c:pt>
                <c:pt idx="14">
                  <c:v>0.27332997999999992</c:v>
                </c:pt>
                <c:pt idx="15">
                  <c:v>0.54756092000000012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72-4896-989A-5EEC15166D41}"/>
            </c:ext>
          </c:extLst>
        </c:ser>
        <c:ser>
          <c:idx val="2"/>
          <c:order val="2"/>
          <c:tx>
            <c:strRef>
              <c:f>Arkusz!$H$122:$H$123</c:f>
              <c:strCache>
                <c:ptCount val="2"/>
                <c:pt idx="0">
                  <c:v>złożona min 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Arkusz!$E$124:$E$139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cat>
          <c:val>
            <c:numRef>
              <c:f>Arkusz!$H$124:$H$139</c:f>
              <c:numCache>
                <c:formatCode>General</c:formatCode>
                <c:ptCount val="16"/>
                <c:pt idx="0">
                  <c:v>6.9972440000000014E-3</c:v>
                </c:pt>
                <c:pt idx="1">
                  <c:v>1.4218786000000004E-2</c:v>
                </c:pt>
                <c:pt idx="2">
                  <c:v>2.794737000000001E-2</c:v>
                </c:pt>
                <c:pt idx="3">
                  <c:v>5.5393451999999996E-2</c:v>
                </c:pt>
                <c:pt idx="4">
                  <c:v>0.10976636000000005</c:v>
                </c:pt>
                <c:pt idx="5">
                  <c:v>0.21867504000000001</c:v>
                </c:pt>
                <c:pt idx="6">
                  <c:v>0.43768526000000002</c:v>
                </c:pt>
                <c:pt idx="7">
                  <c:v>0.87515435999999991</c:v>
                </c:pt>
                <c:pt idx="8">
                  <c:v>1.7651883999999998</c:v>
                </c:pt>
                <c:pt idx="9">
                  <c:v>3.4896515999999984</c:v>
                </c:pt>
                <c:pt idx="10">
                  <c:v>6.985761199999998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72-4896-989A-5EEC15166D41}"/>
            </c:ext>
          </c:extLst>
        </c:ser>
        <c:ser>
          <c:idx val="3"/>
          <c:order val="3"/>
          <c:tx>
            <c:strRef>
              <c:f>Arkusz!$I$122:$I$123</c:f>
              <c:strCache>
                <c:ptCount val="2"/>
                <c:pt idx="0">
                  <c:v>złożona min 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Arkusz!$E$124:$E$139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cat>
          <c:val>
            <c:numRef>
              <c:f>Arkusz!$I$124:$I$139</c:f>
              <c:numCache>
                <c:formatCode>General</c:formatCode>
                <c:ptCount val="16"/>
                <c:pt idx="0">
                  <c:v>1.8741420000000001E-3</c:v>
                </c:pt>
                <c:pt idx="1">
                  <c:v>1.8475239999999995E-3</c:v>
                </c:pt>
                <c:pt idx="2">
                  <c:v>2.1146480000000007E-3</c:v>
                </c:pt>
                <c:pt idx="3">
                  <c:v>2.6355000000000007E-3</c:v>
                </c:pt>
                <c:pt idx="4">
                  <c:v>3.7016160000000009E-3</c:v>
                </c:pt>
                <c:pt idx="5">
                  <c:v>5.684083999999999E-3</c:v>
                </c:pt>
                <c:pt idx="6">
                  <c:v>9.6556380000000011E-3</c:v>
                </c:pt>
                <c:pt idx="7">
                  <c:v>1.7320970000000002E-2</c:v>
                </c:pt>
                <c:pt idx="8">
                  <c:v>3.2803008000000002E-2</c:v>
                </c:pt>
                <c:pt idx="9">
                  <c:v>6.3494821999999992E-2</c:v>
                </c:pt>
                <c:pt idx="10">
                  <c:v>0.12568108</c:v>
                </c:pt>
                <c:pt idx="11">
                  <c:v>0.24994232000000005</c:v>
                </c:pt>
                <c:pt idx="12">
                  <c:v>0.49960715999999988</c:v>
                </c:pt>
                <c:pt idx="13">
                  <c:v>0.99723408000000002</c:v>
                </c:pt>
                <c:pt idx="14">
                  <c:v>2.0022243999999998</c:v>
                </c:pt>
                <c:pt idx="15">
                  <c:v>4.0020401999999988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2-4896-989A-5EEC15166D41}"/>
            </c:ext>
          </c:extLst>
        </c:ser>
        <c:ser>
          <c:idx val="4"/>
          <c:order val="4"/>
          <c:tx>
            <c:strRef>
              <c:f>Arkusz!$J$122:$J$123</c:f>
              <c:strCache>
                <c:ptCount val="2"/>
                <c:pt idx="0">
                  <c:v>cos monte carlo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Arkusz!$E$124:$E$139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cat>
          <c:val>
            <c:numRef>
              <c:f>Arkusz!$J$124:$J$139</c:f>
              <c:numCache>
                <c:formatCode>General</c:formatCode>
                <c:ptCount val="16"/>
                <c:pt idx="0">
                  <c:v>9.8698200000000014E-3</c:v>
                </c:pt>
                <c:pt idx="1">
                  <c:v>1.9966069999999999E-2</c:v>
                </c:pt>
                <c:pt idx="2">
                  <c:v>3.9956145999999998E-2</c:v>
                </c:pt>
                <c:pt idx="3">
                  <c:v>7.9254432000000014E-2</c:v>
                </c:pt>
                <c:pt idx="4">
                  <c:v>0.15436032000000005</c:v>
                </c:pt>
                <c:pt idx="5">
                  <c:v>0.30672274000000005</c:v>
                </c:pt>
                <c:pt idx="6">
                  <c:v>0.61355301999999989</c:v>
                </c:pt>
                <c:pt idx="7">
                  <c:v>1.2297958000000004</c:v>
                </c:pt>
                <c:pt idx="8">
                  <c:v>2.4624284000000007</c:v>
                </c:pt>
                <c:pt idx="9">
                  <c:v>4.9080325999999994</c:v>
                </c:pt>
                <c:pt idx="10">
                  <c:v>9.8325650000000007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72-4896-989A-5EEC15166D41}"/>
            </c:ext>
          </c:extLst>
        </c:ser>
        <c:ser>
          <c:idx val="5"/>
          <c:order val="5"/>
          <c:tx>
            <c:strRef>
              <c:f>Arkusz!$K$122:$K$123</c:f>
              <c:strCache>
                <c:ptCount val="2"/>
                <c:pt idx="0">
                  <c:v>cos monte carlo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Arkusz!$E$124:$E$139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cat>
          <c:val>
            <c:numRef>
              <c:f>Arkusz!$K$124:$K$139</c:f>
              <c:numCache>
                <c:formatCode>General</c:formatCode>
                <c:ptCount val="16"/>
                <c:pt idx="0">
                  <c:v>1.4004200000000001E-3</c:v>
                </c:pt>
                <c:pt idx="1">
                  <c:v>1.3192919999999999E-3</c:v>
                </c:pt>
                <c:pt idx="2">
                  <c:v>1.314258E-3</c:v>
                </c:pt>
                <c:pt idx="3">
                  <c:v>1.3603720000000003E-3</c:v>
                </c:pt>
                <c:pt idx="4">
                  <c:v>1.4609919999999999E-3</c:v>
                </c:pt>
                <c:pt idx="5">
                  <c:v>1.8015039999999998E-3</c:v>
                </c:pt>
                <c:pt idx="6">
                  <c:v>2.5276460000000001E-3</c:v>
                </c:pt>
                <c:pt idx="7">
                  <c:v>3.9480940000000001E-3</c:v>
                </c:pt>
                <c:pt idx="8">
                  <c:v>6.6746779999999973E-3</c:v>
                </c:pt>
                <c:pt idx="9">
                  <c:v>1.1796657999999998E-2</c:v>
                </c:pt>
                <c:pt idx="10">
                  <c:v>2.2135037999999999E-2</c:v>
                </c:pt>
                <c:pt idx="11">
                  <c:v>4.3019254E-2</c:v>
                </c:pt>
                <c:pt idx="12">
                  <c:v>8.4762634000000017E-2</c:v>
                </c:pt>
                <c:pt idx="13">
                  <c:v>0.16868465999999999</c:v>
                </c:pt>
                <c:pt idx="14">
                  <c:v>0.33816892000000004</c:v>
                </c:pt>
                <c:pt idx="15">
                  <c:v>0.67526457999999989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72-4896-989A-5EEC15166D41}"/>
            </c:ext>
          </c:extLst>
        </c:ser>
        <c:ser>
          <c:idx val="6"/>
          <c:order val="6"/>
          <c:tx>
            <c:strRef>
              <c:f>Arkusz!$L$122:$L$123</c:f>
              <c:strCache>
                <c:ptCount val="2"/>
                <c:pt idx="0">
                  <c:v>złożona monte carlo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Arkusz!$E$124:$E$139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cat>
          <c:val>
            <c:numRef>
              <c:f>Arkusz!$L$124:$L$139</c:f>
              <c:numCache>
                <c:formatCode>General</c:formatCode>
                <c:ptCount val="16"/>
                <c:pt idx="0">
                  <c:v>1.1112542000000001E-2</c:v>
                </c:pt>
                <c:pt idx="1">
                  <c:v>2.2924622000000002E-2</c:v>
                </c:pt>
                <c:pt idx="2">
                  <c:v>4.5119554000000006E-2</c:v>
                </c:pt>
                <c:pt idx="3">
                  <c:v>8.925664400000001E-2</c:v>
                </c:pt>
                <c:pt idx="4">
                  <c:v>0.17714909999999995</c:v>
                </c:pt>
                <c:pt idx="5">
                  <c:v>0.35168701999999996</c:v>
                </c:pt>
                <c:pt idx="6">
                  <c:v>0.70468251999999998</c:v>
                </c:pt>
                <c:pt idx="7">
                  <c:v>1.4172894000000003</c:v>
                </c:pt>
                <c:pt idx="8">
                  <c:v>2.8274816</c:v>
                </c:pt>
                <c:pt idx="9">
                  <c:v>5.6388499999999997</c:v>
                </c:pt>
                <c:pt idx="10">
                  <c:v>11.295936000000001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72-4896-989A-5EEC15166D41}"/>
            </c:ext>
          </c:extLst>
        </c:ser>
        <c:ser>
          <c:idx val="7"/>
          <c:order val="7"/>
          <c:tx>
            <c:strRef>
              <c:f>Arkusz!$M$122:$M$123</c:f>
              <c:strCache>
                <c:ptCount val="2"/>
                <c:pt idx="0">
                  <c:v>złożona monte carlo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Arkusz!$E$124:$E$139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cat>
          <c:val>
            <c:numRef>
              <c:f>Arkusz!$M$124:$M$139</c:f>
              <c:numCache>
                <c:formatCode>General</c:formatCode>
                <c:ptCount val="16"/>
                <c:pt idx="0">
                  <c:v>1.520668E-3</c:v>
                </c:pt>
                <c:pt idx="1">
                  <c:v>1.43589E-3</c:v>
                </c:pt>
                <c:pt idx="2">
                  <c:v>1.5952340000000001E-3</c:v>
                </c:pt>
                <c:pt idx="3">
                  <c:v>2.1851879999999994E-3</c:v>
                </c:pt>
                <c:pt idx="4">
                  <c:v>3.2472679999999998E-3</c:v>
                </c:pt>
                <c:pt idx="5">
                  <c:v>5.3157100000000004E-3</c:v>
                </c:pt>
                <c:pt idx="6">
                  <c:v>9.3181060000000013E-3</c:v>
                </c:pt>
                <c:pt idx="7">
                  <c:v>1.7293155999999994E-2</c:v>
                </c:pt>
                <c:pt idx="8">
                  <c:v>3.3156656E-2</c:v>
                </c:pt>
                <c:pt idx="9">
                  <c:v>6.4876708000000005E-2</c:v>
                </c:pt>
                <c:pt idx="10">
                  <c:v>0.12824015999999999</c:v>
                </c:pt>
                <c:pt idx="11">
                  <c:v>0.25806209999999996</c:v>
                </c:pt>
                <c:pt idx="12">
                  <c:v>0.51500042000000013</c:v>
                </c:pt>
                <c:pt idx="13">
                  <c:v>1.0340558</c:v>
                </c:pt>
                <c:pt idx="14">
                  <c:v>2.0659780000000003</c:v>
                </c:pt>
                <c:pt idx="15">
                  <c:v>4.1297639999999989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72-4896-989A-5EEC15166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407232"/>
        <c:axId val="1880965600"/>
      </c:lineChart>
      <c:catAx>
        <c:axId val="2414072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965600"/>
        <c:crosses val="autoZero"/>
        <c:auto val="1"/>
        <c:lblAlgn val="ctr"/>
        <c:lblOffset val="100"/>
        <c:noMultiLvlLbl val="0"/>
      </c:catAx>
      <c:valAx>
        <c:axId val="18809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140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722779</xdr:colOff>
      <xdr:row>106</xdr:row>
      <xdr:rowOff>180414</xdr:rowOff>
    </xdr:from>
    <xdr:to>
      <xdr:col>26</xdr:col>
      <xdr:colOff>168308</xdr:colOff>
      <xdr:row>129</xdr:row>
      <xdr:rowOff>118914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28872589-1F82-4D77-BC82-CB4AC479C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kceleracj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_max_max"/>
      <sheetName val="done_cos_max_max"/>
      <sheetName val="done_ext_max_512"/>
      <sheetName val="done_cos_max_512"/>
      <sheetName val="done_ext_100_max"/>
      <sheetName val="done_cos_100_max"/>
      <sheetName val="done_ext_100_512"/>
      <sheetName val="done_cos_100_5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71D6-2D1A-41C0-A781-8701514CB622}">
  <dimension ref="B1:AG139"/>
  <sheetViews>
    <sheetView tabSelected="1" topLeftCell="E41" zoomScale="85" zoomScaleNormal="85" workbookViewId="0">
      <selection activeCell="AE78" sqref="AE78"/>
    </sheetView>
  </sheetViews>
  <sheetFormatPr defaultRowHeight="15" x14ac:dyDescent="0.25"/>
  <cols>
    <col min="13" max="13" width="12.7109375" customWidth="1"/>
    <col min="14" max="14" width="12.5703125" customWidth="1"/>
    <col min="15" max="15" width="13.28515625" customWidth="1"/>
    <col min="16" max="16" width="12.28515625" customWidth="1"/>
  </cols>
  <sheetData>
    <row r="1" spans="2:33" ht="15" customHeight="1" x14ac:dyDescent="0.25">
      <c r="E1" s="4" t="s">
        <v>6</v>
      </c>
      <c r="F1" s="4"/>
      <c r="G1" s="4"/>
      <c r="H1" s="4"/>
      <c r="I1" s="4"/>
      <c r="J1" s="10"/>
      <c r="K1" s="10"/>
      <c r="M1" s="4" t="s">
        <v>5</v>
      </c>
      <c r="N1" s="4"/>
      <c r="O1" s="4"/>
      <c r="P1" s="4"/>
      <c r="Q1" s="4"/>
      <c r="R1" s="10"/>
      <c r="S1" s="10"/>
      <c r="U1" s="4" t="s">
        <v>4</v>
      </c>
      <c r="V1" s="4"/>
      <c r="W1" s="4"/>
      <c r="X1" s="4"/>
      <c r="Y1" s="4"/>
      <c r="Z1" s="10"/>
      <c r="AC1" s="4" t="s">
        <v>11</v>
      </c>
      <c r="AD1" s="4"/>
      <c r="AE1" s="4"/>
      <c r="AF1" s="4"/>
      <c r="AG1" s="4"/>
    </row>
    <row r="2" spans="2:33" ht="15" customHeight="1" x14ac:dyDescent="0.25">
      <c r="E2" s="4"/>
      <c r="F2" s="4"/>
      <c r="G2" s="4"/>
      <c r="H2" s="4"/>
      <c r="I2" s="4"/>
      <c r="J2" s="10"/>
      <c r="K2" s="10"/>
      <c r="M2" s="4"/>
      <c r="N2" s="4"/>
      <c r="O2" s="4"/>
      <c r="P2" s="4"/>
      <c r="Q2" s="4"/>
      <c r="R2" s="10"/>
      <c r="S2" s="10"/>
      <c r="U2" s="4"/>
      <c r="V2" s="4"/>
      <c r="W2" s="4"/>
      <c r="X2" s="4"/>
      <c r="Y2" s="4"/>
      <c r="Z2" s="10"/>
      <c r="AC2" s="4"/>
      <c r="AD2" s="4"/>
      <c r="AE2" s="4"/>
      <c r="AF2" s="4"/>
      <c r="AG2" s="4"/>
    </row>
    <row r="3" spans="2:33" x14ac:dyDescent="0.25">
      <c r="E3" t="s">
        <v>0</v>
      </c>
      <c r="F3" t="s">
        <v>0</v>
      </c>
      <c r="G3" t="s">
        <v>0</v>
      </c>
      <c r="H3" t="s">
        <v>0</v>
      </c>
      <c r="I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AC3" t="s">
        <v>0</v>
      </c>
      <c r="AD3" t="s">
        <v>0</v>
      </c>
      <c r="AE3" t="s">
        <v>0</v>
      </c>
      <c r="AF3" t="s">
        <v>0</v>
      </c>
    </row>
    <row r="4" spans="2:33" x14ac:dyDescent="0.25">
      <c r="E4" s="8" t="s">
        <v>2</v>
      </c>
      <c r="F4" s="8" t="s">
        <v>7</v>
      </c>
      <c r="G4" s="8" t="s">
        <v>8</v>
      </c>
      <c r="H4" s="8" t="s">
        <v>9</v>
      </c>
      <c r="I4" s="9">
        <v>100512</v>
      </c>
      <c r="M4" s="8" t="s">
        <v>2</v>
      </c>
      <c r="N4" s="8" t="s">
        <v>7</v>
      </c>
      <c r="O4" s="8" t="s">
        <v>8</v>
      </c>
      <c r="P4" s="8" t="s">
        <v>9</v>
      </c>
      <c r="Q4" s="9">
        <v>100512</v>
      </c>
      <c r="S4" s="8"/>
      <c r="U4" s="8" t="s">
        <v>2</v>
      </c>
      <c r="V4" s="8" t="s">
        <v>7</v>
      </c>
      <c r="W4" s="8" t="s">
        <v>8</v>
      </c>
      <c r="X4" s="8" t="s">
        <v>9</v>
      </c>
      <c r="Y4" s="9">
        <v>100512</v>
      </c>
      <c r="AC4" s="8" t="s">
        <v>7</v>
      </c>
      <c r="AD4" s="8" t="s">
        <v>8</v>
      </c>
      <c r="AE4" s="8" t="s">
        <v>9</v>
      </c>
      <c r="AF4" s="9">
        <v>100512</v>
      </c>
    </row>
    <row r="5" spans="2:33" x14ac:dyDescent="0.25">
      <c r="B5" s="1" t="s">
        <v>3</v>
      </c>
      <c r="C5" s="1"/>
      <c r="D5">
        <v>15</v>
      </c>
      <c r="E5">
        <f>AVERAGE([1]!x__8[minMaxSeq_50_15.txt])</f>
        <v>5.4357420000000004E-3</v>
      </c>
      <c r="F5">
        <f>AVERAGE([1]!x__8[minMaxPar_50_15.txt])</f>
        <v>1.7328460000000003E-3</v>
      </c>
      <c r="G5">
        <f>AVERAGE([1]!x__5[minMaxPar_50_15.txt])</f>
        <v>1.41296E-3</v>
      </c>
      <c r="H5">
        <f>SUBTOTAL(101,[1]!x__3[minMaxPar_50_15.txt])</f>
        <v>3.2773771999999993E-2</v>
      </c>
      <c r="I5">
        <f>AVERAGE([1]!x[minMaxPar_50_15.txt])</f>
        <v>1.3208308000000004E-2</v>
      </c>
      <c r="L5">
        <v>15</v>
      </c>
      <c r="M5" s="7">
        <f>STDEVPA([1]!x__8[minMaxSeq_50_15.txt])</f>
        <v>2.4505106005891908E-4</v>
      </c>
      <c r="N5" s="7">
        <f>STDEVPA([1]!x__8[minMaxPar_50_15.txt])</f>
        <v>8.3889203620013004E-5</v>
      </c>
      <c r="O5">
        <f>STDEVPA([1]!x__5[minMaxPar_50_15.txt])</f>
        <v>2.0915356463613048E-4</v>
      </c>
      <c r="P5">
        <f>_xlfn.STDEV.P([1]!x__3[minMaxPar_50_15.txt])</f>
        <v>5.7479406052602842E-4</v>
      </c>
      <c r="Q5">
        <f>_xlfn.STDEV.P([1]!x[minMaxPar_50_15.txt])</f>
        <v>2.516139684834688E-4</v>
      </c>
      <c r="T5">
        <v>15</v>
      </c>
      <c r="U5" s="6">
        <f>M5/[1]!x__8[[#Totals],[minMaxSeq_50_15.txt]]</f>
        <v>4.5081436914945386E-2</v>
      </c>
      <c r="V5" s="6">
        <f>N5/[1]!x__8[[#Totals],[minMaxPar_50_15.txt]]</f>
        <v>4.8411228476167523E-2</v>
      </c>
      <c r="W5" s="5">
        <f>O5/[1]!x__5[[#Totals],[minMaxPar_50_15.txt]]</f>
        <v>0.14802511368767018</v>
      </c>
      <c r="X5" s="5">
        <f>P5/[1]!x__3[[#Totals],[minMaxPar_50_15.txt]]</f>
        <v>1.7538233332618183E-2</v>
      </c>
      <c r="Y5" s="5">
        <f>Q5/[1]!x[[#Totals],[minMaxPar_50_15.txt]]</f>
        <v>1.9049674529354459E-2</v>
      </c>
      <c r="AA5" s="5"/>
      <c r="AB5">
        <v>15</v>
      </c>
      <c r="AC5" s="11">
        <f>($E5/F5)</f>
        <v>3.1368869478303321</v>
      </c>
      <c r="AD5" s="11">
        <f>($E5/G5)</f>
        <v>3.8470600724719741</v>
      </c>
      <c r="AE5" s="11">
        <f>($E5/H5)</f>
        <v>0.16585646595698542</v>
      </c>
      <c r="AF5" s="11">
        <f>($E5/I5)</f>
        <v>0.41153961582361637</v>
      </c>
    </row>
    <row r="6" spans="2:33" x14ac:dyDescent="0.25">
      <c r="B6" s="1"/>
      <c r="C6" s="1"/>
      <c r="D6">
        <v>16</v>
      </c>
      <c r="E6">
        <f>AVERAGE([1]!x__8[minMaxSeq_50_16.txt])</f>
        <v>1.0932134000000003E-2</v>
      </c>
      <c r="F6">
        <f>AVERAGE([1]!x__8[minMaxPar_50_16.txt])</f>
        <v>1.7155719999999996E-3</v>
      </c>
      <c r="G6">
        <f>AVERAGE([1]!x__5[minMaxPar_50_16.txt])</f>
        <v>1.3629560000000002E-3</v>
      </c>
      <c r="H6">
        <f>SUBTOTAL(101,[1]!x__3[minMaxPar_50_16.txt])</f>
        <v>3.2805918000000003E-2</v>
      </c>
      <c r="I6">
        <f>AVERAGE([1]!x[minMaxPar_50_16.txt])</f>
        <v>1.3323748E-2</v>
      </c>
      <c r="L6">
        <v>16</v>
      </c>
      <c r="M6" s="7">
        <f>STDEVPA([1]!x__8[minMaxSeq_50_16.txt])</f>
        <v>4.4898697246579448E-4</v>
      </c>
      <c r="N6" s="7">
        <f>STDEVPA([1]!x__8[minMaxPar_50_16.txt])</f>
        <v>7.3703829045715117E-5</v>
      </c>
      <c r="O6">
        <f>STDEVPA([1]!x__5[minMaxPar_50_16.txt])</f>
        <v>1.3796610621453372E-4</v>
      </c>
      <c r="P6">
        <f>_xlfn.STDEV.P([1]!x__3[minMaxPar_50_16.txt])</f>
        <v>6.9568045558000228E-4</v>
      </c>
      <c r="Q6">
        <f>_xlfn.STDEV.P([1]!x[minMaxPar_50_16.txt])</f>
        <v>3.2279717795544611E-4</v>
      </c>
      <c r="T6">
        <v>16</v>
      </c>
      <c r="U6" s="6">
        <f>M6/[1]!x__8[[#Totals],[minMaxSeq_50_16.txt]]</f>
        <v>4.1070386849062987E-2</v>
      </c>
      <c r="V6" s="6">
        <f>N6/[1]!x__8[[#Totals],[minMaxPar_50_16.txt]]</f>
        <v>4.2961664707581573E-2</v>
      </c>
      <c r="W6" s="5">
        <f>O6/[1]!x__5[[#Totals],[minMaxPar_50_16.txt]]</f>
        <v>0.10122564940800267</v>
      </c>
      <c r="X6" s="5">
        <f>P6/[1]!x__3[[#Totals],[minMaxPar_50_16.txt]]</f>
        <v>2.1205943865981808E-2</v>
      </c>
      <c r="Y6" s="5">
        <f>Q6/[1]!x[[#Totals],[minMaxPar_50_16.txt]]</f>
        <v>2.4227205284537513E-2</v>
      </c>
      <c r="AA6" s="5"/>
      <c r="AB6">
        <v>16</v>
      </c>
      <c r="AC6" s="11">
        <f>($E6/F6)</f>
        <v>6.3722968199527656</v>
      </c>
      <c r="AD6" s="11">
        <f>($E6/G6)</f>
        <v>8.0209001611203892</v>
      </c>
      <c r="AE6" s="11">
        <f>($E6/H6)</f>
        <v>0.33323664346170717</v>
      </c>
      <c r="AF6" s="11">
        <f>($E6/I6)</f>
        <v>0.82049990738341816</v>
      </c>
    </row>
    <row r="7" spans="2:33" x14ac:dyDescent="0.25">
      <c r="B7" s="1"/>
      <c r="C7" s="1"/>
      <c r="D7">
        <v>17</v>
      </c>
      <c r="E7">
        <f>AVERAGE([1]!x__8[minMaxSeq_50_17.txt])</f>
        <v>2.2631022000000001E-2</v>
      </c>
      <c r="F7">
        <f>AVERAGE([1]!x__8[minMaxPar_50_17.txt])</f>
        <v>1.74092E-3</v>
      </c>
      <c r="G7">
        <f>AVERAGE([1]!x__5[minMaxPar_50_17.txt])</f>
        <v>1.394731999999999E-3</v>
      </c>
      <c r="H7">
        <f>SUBTOTAL(101,[1]!x__3[minMaxPar_50_17.txt])</f>
        <v>3.2817488000000006E-2</v>
      </c>
      <c r="I7">
        <f>AVERAGE([1]!x[minMaxPar_50_17.txt])</f>
        <v>1.3319283999999995E-2</v>
      </c>
      <c r="L7">
        <v>17</v>
      </c>
      <c r="M7" s="7">
        <f>STDEVPA([1]!x__8[minMaxSeq_50_17.txt])</f>
        <v>1.7095237371022374E-3</v>
      </c>
      <c r="N7" s="7">
        <f>STDEVPA([1]!x__8[minMaxPar_50_17.txt])</f>
        <v>1.036243118191865E-4</v>
      </c>
      <c r="O7">
        <f>STDEVPA([1]!x__5[minMaxPar_50_17.txt])</f>
        <v>1.4697714031780586E-4</v>
      </c>
      <c r="P7">
        <f>_xlfn.STDEV.P([1]!x__3[minMaxPar_50_17.txt])</f>
        <v>4.7591807347063445E-4</v>
      </c>
      <c r="Q7">
        <f>_xlfn.STDEV.P([1]!x[minMaxPar_50_17.txt])</f>
        <v>2.481092334920247E-4</v>
      </c>
      <c r="T7">
        <v>17</v>
      </c>
      <c r="U7" s="6">
        <f>M7/[1]!x__8[[#Totals],[minMaxSeq_50_17.txt]]</f>
        <v>7.5538954321295676E-2</v>
      </c>
      <c r="V7" s="6">
        <f>N7/[1]!x__8[[#Totals],[minMaxPar_50_17.txt]]</f>
        <v>5.9522730406444006E-2</v>
      </c>
      <c r="W7" s="5">
        <f>O7/[1]!x__5[[#Totals],[minMaxPar_50_17.txt]]</f>
        <v>0.10538020230252548</v>
      </c>
      <c r="X7" s="5">
        <f>P7/[1]!x__3[[#Totals],[minMaxPar_50_17.txt]]</f>
        <v>1.4501965338438895E-2</v>
      </c>
      <c r="Y7" s="5">
        <f>Q7/[1]!x[[#Totals],[minMaxPar_50_17.txt]]</f>
        <v>1.8627820646517093E-2</v>
      </c>
      <c r="AA7" s="5"/>
      <c r="AB7">
        <v>17</v>
      </c>
      <c r="AC7" s="11">
        <f>($E7/F7)</f>
        <v>12.999461204420651</v>
      </c>
      <c r="AD7" s="11">
        <f>($E7/G7)</f>
        <v>16.226072105608832</v>
      </c>
      <c r="AE7" s="11">
        <f>($E7/H7)</f>
        <v>0.68960250705355619</v>
      </c>
      <c r="AF7" s="11">
        <f>($E7/I7)</f>
        <v>1.6991170095930088</v>
      </c>
    </row>
    <row r="8" spans="2:33" x14ac:dyDescent="0.25">
      <c r="B8" s="1"/>
      <c r="C8" s="1"/>
      <c r="D8">
        <v>18</v>
      </c>
      <c r="E8">
        <f>AVERAGE([1]!x__8[minMaxSeq_50_18.txt])</f>
        <v>4.3343595999999998E-2</v>
      </c>
      <c r="F8">
        <f>AVERAGE([1]!x__8[minMaxPar_50_18.txt])</f>
        <v>1.8278340000000006E-3</v>
      </c>
      <c r="G8">
        <f>AVERAGE([1]!x__5[minMaxPar_50_18.txt])</f>
        <v>1.628446E-3</v>
      </c>
      <c r="H8">
        <f>SUBTOTAL(101,[1]!x__3[minMaxPar_50_18.txt])</f>
        <v>3.2718262000000012E-2</v>
      </c>
      <c r="I8">
        <f>AVERAGE([1]!x[minMaxPar_50_18.txt])</f>
        <v>1.3477790000000003E-2</v>
      </c>
      <c r="L8">
        <v>18</v>
      </c>
      <c r="M8" s="7">
        <f>STDEVPA([1]!x__8[minMaxSeq_50_18.txt])</f>
        <v>1.4210008765598984E-3</v>
      </c>
      <c r="N8" s="7">
        <f>STDEVPA([1]!x__8[minMaxPar_50_18.txt])</f>
        <v>3.7239883330107259E-4</v>
      </c>
      <c r="O8">
        <f>STDEVPA([1]!x__5[minMaxPar_50_18.txt])</f>
        <v>2.4231901387220941E-4</v>
      </c>
      <c r="P8">
        <f>_xlfn.STDEV.P([1]!x__3[minMaxPar_50_18.txt])</f>
        <v>3.7871351065944293E-4</v>
      </c>
      <c r="Q8">
        <f>_xlfn.STDEV.P([1]!x[minMaxPar_50_18.txt])</f>
        <v>4.0591405309498707E-4</v>
      </c>
      <c r="T8">
        <v>18</v>
      </c>
      <c r="U8" s="6">
        <f>M8/[1]!x__8[[#Totals],[minMaxSeq_50_18.txt]]</f>
        <v>3.2784563527213997E-2</v>
      </c>
      <c r="V8" s="6">
        <f>N8/[1]!x__8[[#Totals],[minMaxPar_50_18.txt]]</f>
        <v>0.20373777558633469</v>
      </c>
      <c r="W8" s="5">
        <f>O8/[1]!x__5[[#Totals],[minMaxPar_50_18.txt]]</f>
        <v>0.14880383744515288</v>
      </c>
      <c r="X8" s="5">
        <f>P8/[1]!x__3[[#Totals],[minMaxPar_50_18.txt]]</f>
        <v>1.1574988630491521E-2</v>
      </c>
      <c r="Y8" s="5">
        <f>Q8/[1]!x[[#Totals],[minMaxPar_50_18.txt]]</f>
        <v>3.0117256100220213E-2</v>
      </c>
      <c r="AA8" s="5"/>
      <c r="AB8">
        <v>18</v>
      </c>
      <c r="AC8" s="11">
        <f>($E8/F8)</f>
        <v>23.713092107926641</v>
      </c>
      <c r="AD8" s="11">
        <f>($E8/G8)</f>
        <v>26.616538712367497</v>
      </c>
      <c r="AE8" s="11">
        <f>($E8/H8)</f>
        <v>1.3247523966890411</v>
      </c>
      <c r="AF8" s="11">
        <f>($E8/I8)</f>
        <v>3.2159275370813751</v>
      </c>
    </row>
    <row r="9" spans="2:33" x14ac:dyDescent="0.25">
      <c r="B9" s="1"/>
      <c r="C9" s="1"/>
      <c r="D9">
        <v>19</v>
      </c>
      <c r="E9">
        <f>AVERAGE([1]!x__8[minMaxSeq_50_19.txt])</f>
        <v>8.5688996000000003E-2</v>
      </c>
      <c r="F9">
        <f>AVERAGE([1]!x__8[minMaxPar_50_19.txt])</f>
        <v>1.8092780000000001E-3</v>
      </c>
      <c r="G9">
        <f>AVERAGE([1]!x__5[minMaxPar_50_19.txt])</f>
        <v>1.5849139999999998E-3</v>
      </c>
      <c r="H9">
        <f>SUBTOTAL(101,[1]!x__3[minMaxPar_50_19.txt])</f>
        <v>3.2654292000000001E-2</v>
      </c>
      <c r="I9">
        <f>AVERAGE([1]!x[minMaxPar_50_19.txt])</f>
        <v>1.3475354000000002E-2</v>
      </c>
      <c r="L9">
        <v>19</v>
      </c>
      <c r="M9" s="7">
        <f>STDEVPA([1]!x__8[minMaxSeq_50_19.txt])</f>
        <v>1.9415454483436645E-3</v>
      </c>
      <c r="N9" s="7">
        <f>STDEVPA([1]!x__8[minMaxPar_50_19.txt])</f>
        <v>1.6348714113348484E-4</v>
      </c>
      <c r="O9">
        <f>STDEVPA([1]!x__5[minMaxPar_50_19.txt])</f>
        <v>9.4708109494382801E-5</v>
      </c>
      <c r="P9">
        <f>_xlfn.STDEV.P([1]!x__3[minMaxPar_50_19.txt])</f>
        <v>4.6774330645771983E-4</v>
      </c>
      <c r="Q9">
        <f>_xlfn.STDEV.P([1]!x[minMaxPar_50_19.txt])</f>
        <v>3.5349733702533048E-4</v>
      </c>
      <c r="T9">
        <v>19</v>
      </c>
      <c r="U9" s="6">
        <f>M9/[1]!x__8[[#Totals],[minMaxSeq_50_19.txt]]</f>
        <v>2.2658048745765026E-2</v>
      </c>
      <c r="V9" s="6">
        <f>N9/[1]!x__8[[#Totals],[minMaxPar_50_19.txt]]</f>
        <v>9.0360431693462709E-2</v>
      </c>
      <c r="W9" s="5">
        <f>O9/[1]!x__5[[#Totals],[minMaxPar_50_19.txt]]</f>
        <v>5.9755992750636824E-2</v>
      </c>
      <c r="X9" s="5">
        <f>P9/[1]!x__3[[#Totals],[minMaxPar_50_19.txt]]</f>
        <v>1.4324098849171798E-2</v>
      </c>
      <c r="Y9" s="5">
        <f>Q9/[1]!x[[#Totals],[minMaxPar_50_19.txt]]</f>
        <v>2.6232879449796305E-2</v>
      </c>
      <c r="AA9" s="5"/>
      <c r="AB9">
        <v>19</v>
      </c>
      <c r="AC9" s="11">
        <f>($E9/F9)</f>
        <v>47.360878759372525</v>
      </c>
      <c r="AD9" s="11">
        <f>($E9/G9)</f>
        <v>54.065391560677753</v>
      </c>
      <c r="AE9" s="11">
        <f>($E9/H9)</f>
        <v>2.6241265926084081</v>
      </c>
      <c r="AF9" s="11">
        <f>($E9/I9)</f>
        <v>6.3589421101664563</v>
      </c>
    </row>
    <row r="10" spans="2:33" x14ac:dyDescent="0.25">
      <c r="B10" s="1"/>
      <c r="C10" s="1"/>
      <c r="D10">
        <v>20</v>
      </c>
      <c r="E10">
        <f>AVERAGE([1]!x__8[minMaxSeq_50_20.txt])</f>
        <v>0.16995272000000003</v>
      </c>
      <c r="F10">
        <f>AVERAGE([1]!x__8[minMaxPar_50_20.txt])</f>
        <v>2.574228E-3</v>
      </c>
      <c r="G10">
        <f>AVERAGE([1]!x__5[minMaxPar_50_20.txt])</f>
        <v>1.9330300000000001E-3</v>
      </c>
      <c r="H10">
        <f>SUBTOTAL(101,[1]!x__3[minMaxPar_50_20.txt])</f>
        <v>3.2893781999999996E-2</v>
      </c>
      <c r="I10">
        <f>AVERAGE([1]!x[minMaxPar_50_20.txt])</f>
        <v>1.3540412000000003E-2</v>
      </c>
      <c r="L10">
        <v>20</v>
      </c>
      <c r="M10" s="7">
        <f>STDEVPA([1]!x__8[minMaxSeq_50_20.txt])</f>
        <v>3.3320101142703643E-3</v>
      </c>
      <c r="N10" s="7">
        <f>STDEVPA([1]!x__8[minMaxPar_50_20.txt])</f>
        <v>8.0502483763918761E-4</v>
      </c>
      <c r="O10">
        <f>STDEVPA([1]!x__5[minMaxPar_50_20.txt])</f>
        <v>3.149702368478647E-4</v>
      </c>
      <c r="P10">
        <f>_xlfn.STDEV.P([1]!x__3[minMaxPar_50_20.txt])</f>
        <v>5.5367314209378072E-4</v>
      </c>
      <c r="Q10">
        <f>_xlfn.STDEV.P([1]!x[minMaxPar_50_20.txt])</f>
        <v>4.751908554002276E-4</v>
      </c>
      <c r="T10">
        <v>20</v>
      </c>
      <c r="U10" s="6">
        <f>M10/[1]!x__8[[#Totals],[minMaxSeq_50_20.txt]]</f>
        <v>1.9605512134612282E-2</v>
      </c>
      <c r="V10" s="6">
        <f>N10/[1]!x__8[[#Totals],[minMaxPar_50_20.txt]]</f>
        <v>0.31272476161365176</v>
      </c>
      <c r="W10" s="5">
        <f>O10/[1]!x__5[[#Totals],[minMaxPar_50_20.txt]]</f>
        <v>0.16294120466204079</v>
      </c>
      <c r="X10" s="5">
        <f>P10/[1]!x__3[[#Totals],[minMaxPar_50_20.txt]]</f>
        <v>1.6832152109896661E-2</v>
      </c>
      <c r="Y10" s="5">
        <f>Q10/[1]!x[[#Totals],[minMaxPar_50_20.txt]]</f>
        <v>3.5094268579141275E-2</v>
      </c>
      <c r="AA10" s="5"/>
      <c r="AB10">
        <v>20</v>
      </c>
      <c r="AC10" s="11">
        <f>($E10/F10)</f>
        <v>66.020849746020957</v>
      </c>
      <c r="AD10" s="11">
        <f>($E10/G10)</f>
        <v>87.920373713806839</v>
      </c>
      <c r="AE10" s="11">
        <f>($E10/H10)</f>
        <v>5.1667126632018183</v>
      </c>
      <c r="AF10" s="11">
        <f>($E10/I10)</f>
        <v>12.551517634766208</v>
      </c>
    </row>
    <row r="11" spans="2:33" x14ac:dyDescent="0.25">
      <c r="B11" s="1"/>
      <c r="C11" s="1"/>
      <c r="D11">
        <v>21</v>
      </c>
      <c r="E11">
        <f>AVERAGE([1]!x__8[minMaxSeq_50_21.txt])</f>
        <v>0.33908366000000006</v>
      </c>
      <c r="F11">
        <f>AVERAGE([1]!x__8[minMaxPar_50_21.txt])</f>
        <v>2.6995419999999997E-3</v>
      </c>
      <c r="G11">
        <f>AVERAGE([1]!x__5[minMaxPar_50_21.txt])</f>
        <v>2.3463000000000004E-3</v>
      </c>
      <c r="H11">
        <f>SUBTOTAL(101,[1]!x__3[minMaxPar_50_21.txt])</f>
        <v>3.2913353999999985E-2</v>
      </c>
      <c r="I11">
        <f>AVERAGE([1]!x[minMaxPar_50_21.txt])</f>
        <v>1.3833586000000007E-2</v>
      </c>
      <c r="L11">
        <v>21</v>
      </c>
      <c r="M11" s="7">
        <f>STDEVPA([1]!x__8[minMaxSeq_50_21.txt])</f>
        <v>5.9083071301685051E-3</v>
      </c>
      <c r="N11" s="7">
        <f>STDEVPA([1]!x__8[minMaxPar_50_21.txt])</f>
        <v>1.3231279467987972E-4</v>
      </c>
      <c r="O11">
        <f>STDEVPA([1]!x__5[minMaxPar_50_21.txt])</f>
        <v>1.432179108910614E-4</v>
      </c>
      <c r="P11">
        <f>_xlfn.STDEV.P([1]!x__3[minMaxPar_50_21.txt])</f>
        <v>4.9541874983088832E-4</v>
      </c>
      <c r="Q11">
        <f>_xlfn.STDEV.P([1]!x[minMaxPar_50_21.txt])</f>
        <v>5.3086199789022378E-4</v>
      </c>
      <c r="T11">
        <v>21</v>
      </c>
      <c r="U11" s="6">
        <f>M11/[1]!x__8[[#Totals],[minMaxSeq_50_21.txt]]</f>
        <v>1.7424334543777498E-2</v>
      </c>
      <c r="V11" s="6">
        <f>N11/[1]!x__8[[#Totals],[minMaxPar_50_21.txt]]</f>
        <v>4.9013052836325476E-2</v>
      </c>
      <c r="W11" s="5">
        <f>O11/[1]!x__5[[#Totals],[minMaxPar_50_21.txt]]</f>
        <v>6.1039897238657194E-2</v>
      </c>
      <c r="X11" s="5">
        <f>P11/[1]!x__3[[#Totals],[minMaxPar_50_21.txt]]</f>
        <v>1.5052211021425788E-2</v>
      </c>
      <c r="Y11" s="5">
        <f>Q11/[1]!x[[#Totals],[minMaxPar_50_21.txt]]</f>
        <v>3.8374865193321783E-2</v>
      </c>
      <c r="AA11" s="5"/>
      <c r="AB11">
        <v>21</v>
      </c>
      <c r="AC11" s="11">
        <f>($E11/F11)</f>
        <v>125.60784755339984</v>
      </c>
      <c r="AD11" s="11">
        <f>($E11/G11)</f>
        <v>144.51845885010442</v>
      </c>
      <c r="AE11" s="11">
        <f>($E11/H11)</f>
        <v>10.302312550705109</v>
      </c>
      <c r="AF11" s="11">
        <f>($E11/I11)</f>
        <v>24.5116241009381</v>
      </c>
    </row>
    <row r="12" spans="2:33" x14ac:dyDescent="0.25">
      <c r="B12" s="1"/>
      <c r="C12" s="1"/>
      <c r="D12">
        <v>22</v>
      </c>
      <c r="E12">
        <f>AVERAGE([1]!x__8[minMaxSeq_50_22.txt])</f>
        <v>0.67660519999999991</v>
      </c>
      <c r="F12">
        <f>AVERAGE([1]!x__8[minMaxPar_50_22.txt])</f>
        <v>3.9051880000000004E-3</v>
      </c>
      <c r="G12">
        <f>AVERAGE([1]!x__5[minMaxPar_50_22.txt])</f>
        <v>3.6459280000000001E-3</v>
      </c>
      <c r="H12">
        <f>SUBTOTAL(101,[1]!x__3[minMaxPar_50_22.txt])</f>
        <v>3.3179492000000005E-2</v>
      </c>
      <c r="I12">
        <f>AVERAGE([1]!x[minMaxPar_50_22.txt])</f>
        <v>1.4184499999999999E-2</v>
      </c>
      <c r="L12">
        <v>22</v>
      </c>
      <c r="M12" s="7">
        <f>STDEVPA([1]!x__8[minMaxSeq_50_22.txt])</f>
        <v>1.0977171464452949E-2</v>
      </c>
      <c r="N12" s="7">
        <f>STDEVPA([1]!x__8[minMaxPar_50_22.txt])</f>
        <v>1.273004519080746E-4</v>
      </c>
      <c r="O12">
        <f>STDEVPA([1]!x__5[minMaxPar_50_22.txt])</f>
        <v>2.9555958995776133E-4</v>
      </c>
      <c r="P12">
        <f>_xlfn.STDEV.P([1]!x__3[minMaxPar_50_22.txt])</f>
        <v>9.9783082611031764E-4</v>
      </c>
      <c r="Q12">
        <f>_xlfn.STDEV.P([1]!x[minMaxPar_50_22.txt])</f>
        <v>4.9148902530982315E-4</v>
      </c>
      <c r="T12">
        <v>22</v>
      </c>
      <c r="U12" s="6">
        <f>M12/[1]!x__8[[#Totals],[minMaxSeq_50_22.txt]]</f>
        <v>1.6223894620456585E-2</v>
      </c>
      <c r="V12" s="6">
        <f>N12/[1]!x__8[[#Totals],[minMaxPar_50_22.txt]]</f>
        <v>3.259777811159785E-2</v>
      </c>
      <c r="W12" s="5">
        <f>O12/[1]!x__5[[#Totals],[minMaxPar_50_22.txt]]</f>
        <v>8.1065668317575473E-2</v>
      </c>
      <c r="X12" s="5">
        <f>P12/[1]!x__3[[#Totals],[minMaxPar_50_22.txt]]</f>
        <v>3.0073722229090112E-2</v>
      </c>
      <c r="Y12" s="5">
        <f>Q12/[1]!x[[#Totals],[minMaxPar_50_22.txt]]</f>
        <v>3.4649725073835749E-2</v>
      </c>
      <c r="AA12" s="5"/>
      <c r="AB12">
        <v>22</v>
      </c>
      <c r="AC12" s="11">
        <f>($E12/F12)</f>
        <v>173.25803520854816</v>
      </c>
      <c r="AD12" s="11">
        <f>($E12/G12)</f>
        <v>185.57832189774453</v>
      </c>
      <c r="AE12" s="11">
        <f>($E12/H12)</f>
        <v>20.392271225852397</v>
      </c>
      <c r="AF12" s="11">
        <f>($E12/I12)</f>
        <v>47.700320772674395</v>
      </c>
    </row>
    <row r="13" spans="2:33" x14ac:dyDescent="0.25">
      <c r="B13" s="1"/>
      <c r="C13" s="1"/>
      <c r="D13">
        <v>23</v>
      </c>
      <c r="E13">
        <f>AVERAGE([1]!x__8[minMaxSeq_50_23.txt])</f>
        <v>1.3568824000000002</v>
      </c>
      <c r="F13">
        <f>AVERAGE([1]!x__8[minMaxPar_50_23.txt])</f>
        <v>6.1296839999999998E-3</v>
      </c>
      <c r="G13">
        <f>AVERAGE([1]!x__5[minMaxPar_50_23.txt])</f>
        <v>5.7561599999999997E-3</v>
      </c>
      <c r="H13">
        <f>SUBTOTAL(101,[1]!x__3[minMaxPar_50_23.txt])</f>
        <v>3.4116530000000006E-2</v>
      </c>
      <c r="I13">
        <f>AVERAGE([1]!x[minMaxPar_50_23.txt])</f>
        <v>1.5777651999999996E-2</v>
      </c>
      <c r="L13">
        <v>23</v>
      </c>
      <c r="M13" s="7">
        <f>STDEVPA([1]!x__8[minMaxSeq_50_23.txt])</f>
        <v>1.4204469093915482E-2</v>
      </c>
      <c r="N13" s="7">
        <f>STDEVPA([1]!x__8[minMaxPar_50_23.txt])</f>
        <v>1.8228783103652312E-4</v>
      </c>
      <c r="O13">
        <f>STDEVPA([1]!x__5[minMaxPar_50_23.txt])</f>
        <v>1.2184839596810464E-4</v>
      </c>
      <c r="P13">
        <f>_xlfn.STDEV.P([1]!x__3[minMaxPar_50_23.txt])</f>
        <v>6.5980511342365292E-4</v>
      </c>
      <c r="Q13">
        <f>_xlfn.STDEV.P([1]!x[minMaxPar_50_23.txt])</f>
        <v>3.2024442929737273E-4</v>
      </c>
      <c r="T13">
        <v>23</v>
      </c>
      <c r="U13" s="6">
        <f>M13/[1]!x__8[[#Totals],[minMaxSeq_50_23.txt]]</f>
        <v>1.0468459974066641E-2</v>
      </c>
      <c r="V13" s="6">
        <f>N13/[1]!x__8[[#Totals],[minMaxPar_50_23.txt]]</f>
        <v>2.9738536446009798E-2</v>
      </c>
      <c r="W13" s="5">
        <f>O13/[1]!x__5[[#Totals],[minMaxPar_50_23.txt]]</f>
        <v>2.1168347642891206E-2</v>
      </c>
      <c r="X13" s="5">
        <f>P13/[1]!x__3[[#Totals],[minMaxPar_50_23.txt]]</f>
        <v>1.9339748603496687E-2</v>
      </c>
      <c r="Y13" s="5">
        <f>Q13/[1]!x[[#Totals],[minMaxPar_50_23.txt]]</f>
        <v>2.0297343945561281E-2</v>
      </c>
      <c r="AA13" s="5"/>
      <c r="AB13">
        <v>23</v>
      </c>
      <c r="AC13" s="11">
        <f>($E13/F13)</f>
        <v>221.36253679635038</v>
      </c>
      <c r="AD13" s="11">
        <f>($E13/G13)</f>
        <v>235.72701245274632</v>
      </c>
      <c r="AE13" s="11">
        <f>($E13/H13)</f>
        <v>39.771993224398848</v>
      </c>
      <c r="AF13" s="11">
        <f>($E13/I13)</f>
        <v>86.00027431204596</v>
      </c>
    </row>
    <row r="14" spans="2:33" x14ac:dyDescent="0.25">
      <c r="B14" s="1"/>
      <c r="C14" s="1"/>
      <c r="D14">
        <v>24</v>
      </c>
      <c r="E14">
        <f>AVERAGE([1]!x__8[minMaxSeq_50_24.txt])</f>
        <v>2.7074564000000003</v>
      </c>
      <c r="F14">
        <f>AVERAGE([1]!x__8[minMaxPar_50_24.txt])</f>
        <v>1.0301429999999999E-2</v>
      </c>
      <c r="G14">
        <f>AVERAGE([1]!x__5[minMaxPar_50_24.txt])</f>
        <v>9.966375999999999E-3</v>
      </c>
      <c r="H14">
        <f>SUBTOTAL(101,[1]!x__3[minMaxPar_50_24.txt])</f>
        <v>3.7699012000000004E-2</v>
      </c>
      <c r="I14">
        <f>AVERAGE([1]!x[minMaxPar_50_24.txt])</f>
        <v>2.0116956000000005E-2</v>
      </c>
      <c r="L14">
        <v>24</v>
      </c>
      <c r="M14" s="7">
        <f>STDEVPA([1]!x__8[minMaxSeq_50_24.txt])</f>
        <v>2.0793707967556006E-2</v>
      </c>
      <c r="N14" s="7">
        <f>STDEVPA([1]!x__8[minMaxPar_50_24.txt])</f>
        <v>9.9171756564054152E-5</v>
      </c>
      <c r="O14">
        <f>STDEVPA([1]!x__5[minMaxPar_50_24.txt])</f>
        <v>8.3848951239714413E-5</v>
      </c>
      <c r="P14">
        <f>_xlfn.STDEV.P([1]!x__3[minMaxPar_50_24.txt])</f>
        <v>5.9254495108472538E-4</v>
      </c>
      <c r="Q14">
        <f>_xlfn.STDEV.P([1]!x[minMaxPar_50_24.txt])</f>
        <v>4.7894402978218651E-4</v>
      </c>
      <c r="T14">
        <v>24</v>
      </c>
      <c r="U14" s="6">
        <f>M14/[1]!x__8[[#Totals],[minMaxSeq_50_24.txt]]</f>
        <v>7.6801635540856734E-3</v>
      </c>
      <c r="V14" s="6">
        <f>N14/[1]!x__8[[#Totals],[minMaxPar_50_24.txt]]</f>
        <v>9.6269893174107061E-3</v>
      </c>
      <c r="W14" s="5">
        <f>O14/[1]!x__5[[#Totals],[minMaxPar_50_24.txt]]</f>
        <v>8.4131836125502808E-3</v>
      </c>
      <c r="X14" s="5">
        <f>P14/[1]!x__3[[#Totals],[minMaxPar_50_24.txt]]</f>
        <v>1.5717784622173263E-2</v>
      </c>
      <c r="Y14" s="5">
        <f>Q14/[1]!x[[#Totals],[minMaxPar_50_24.txt]]</f>
        <v>2.3807977200038931E-2</v>
      </c>
      <c r="AA14" s="5"/>
      <c r="AB14">
        <v>24</v>
      </c>
      <c r="AC14" s="11">
        <f>($E14/F14)</f>
        <v>262.82335559237902</v>
      </c>
      <c r="AD14" s="11">
        <f>($E14/G14)</f>
        <v>271.65906644501479</v>
      </c>
      <c r="AE14" s="11">
        <f>($E14/H14)</f>
        <v>71.817701747727497</v>
      </c>
      <c r="AF14" s="11">
        <f>($E14/I14)</f>
        <v>134.58578922178881</v>
      </c>
    </row>
    <row r="15" spans="2:33" x14ac:dyDescent="0.25">
      <c r="B15" s="1"/>
      <c r="C15" s="1"/>
      <c r="D15">
        <v>25</v>
      </c>
      <c r="E15">
        <f>AVERAGE([1]!x__8[minMaxSeq_50_25.txt])</f>
        <v>5.4162542</v>
      </c>
      <c r="F15">
        <f>AVERAGE([1]!x__8[minMaxPar_50_25.txt])</f>
        <v>1.8721632000000002E-2</v>
      </c>
      <c r="G15">
        <f>AVERAGE([1]!x__5[minMaxPar_50_25.txt])</f>
        <v>1.8344272000000002E-2</v>
      </c>
      <c r="H15">
        <f>SUBTOTAL(101,[1]!x__3[minMaxPar_50_25.txt])</f>
        <v>4.5751429999999996E-2</v>
      </c>
      <c r="I15">
        <f>AVERAGE([1]!x[minMaxPar_50_25.txt])</f>
        <v>2.8645762000000002E-2</v>
      </c>
      <c r="L15">
        <v>25</v>
      </c>
      <c r="M15" s="7">
        <f>STDEVPA([1]!x__8[minMaxSeq_50_25.txt])</f>
        <v>3.2474972276508564E-2</v>
      </c>
      <c r="N15" s="7">
        <f>STDEVPA([1]!x__8[minMaxPar_50_25.txt])</f>
        <v>1.3785154977728772E-4</v>
      </c>
      <c r="O15">
        <f>STDEVPA([1]!x__5[minMaxPar_50_25.txt])</f>
        <v>1.2248653483546681E-4</v>
      </c>
      <c r="P15">
        <f>_xlfn.STDEV.P([1]!x__3[minMaxPar_50_25.txt])</f>
        <v>4.5945652340564257E-4</v>
      </c>
      <c r="Q15">
        <f>_xlfn.STDEV.P([1]!x[minMaxPar_50_25.txt])</f>
        <v>4.338426101203061E-4</v>
      </c>
      <c r="T15">
        <v>25</v>
      </c>
      <c r="U15" s="6">
        <f>M15/[1]!x__8[[#Totals],[minMaxSeq_50_25.txt]]</f>
        <v>5.9958360662814838E-3</v>
      </c>
      <c r="V15" s="6">
        <f>N15/[1]!x__8[[#Totals],[minMaxPar_50_25.txt]]</f>
        <v>7.3632229165324749E-3</v>
      </c>
      <c r="W15" s="5">
        <f>O15/[1]!x__5[[#Totals],[minMaxPar_50_25.txt]]</f>
        <v>6.6770997963542409E-3</v>
      </c>
      <c r="X15" s="5">
        <f>P15/[1]!x__3[[#Totals],[minMaxPar_50_25.txt]]</f>
        <v>1.0042451643711302E-2</v>
      </c>
      <c r="Y15" s="5">
        <f>Q15/[1]!x[[#Totals],[minMaxPar_50_25.txt]]</f>
        <v>1.514508883095189E-2</v>
      </c>
      <c r="AA15" s="5"/>
      <c r="AB15">
        <v>25</v>
      </c>
      <c r="AC15" s="11">
        <f>($E15/F15)</f>
        <v>289.3045969496676</v>
      </c>
      <c r="AD15" s="11">
        <f>($E15/G15)</f>
        <v>295.25588150895277</v>
      </c>
      <c r="AE15" s="11">
        <f>($E15/H15)</f>
        <v>118.38436962516801</v>
      </c>
      <c r="AF15" s="11">
        <f>($E15/I15)</f>
        <v>189.07698109060598</v>
      </c>
    </row>
    <row r="16" spans="2:33" x14ac:dyDescent="0.25">
      <c r="B16" s="1"/>
      <c r="C16" s="1"/>
      <c r="D16">
        <v>26</v>
      </c>
      <c r="F16">
        <f>AVERAGE([1]!x__8[minMaxPar_50_26.txt])</f>
        <v>3.5551110000000004E-2</v>
      </c>
      <c r="G16">
        <f>AVERAGE([1]!x__5[minMaxPar_50_26.txt])</f>
        <v>3.5110074000000012E-2</v>
      </c>
      <c r="H16">
        <f>SUBTOTAL(101,[1]!x__3[minMaxPar_50_26.txt])</f>
        <v>6.2553608000000011E-2</v>
      </c>
      <c r="I16">
        <f>AVERAGE([1]!x[minMaxPar_50_26.txt])</f>
        <v>4.7090352000000009E-2</v>
      </c>
      <c r="L16">
        <v>26</v>
      </c>
      <c r="N16" s="7">
        <f>STDEVPA([1]!x__8[minMaxPar_50_26.txt])</f>
        <v>1.3384215666224162E-4</v>
      </c>
      <c r="O16">
        <f>STDEVPA([1]!x__5[minMaxPar_50_26.txt])</f>
        <v>1.027349712804753E-4</v>
      </c>
      <c r="P16">
        <f>_xlfn.STDEV.P([1]!x__3[minMaxPar_50_26.txt])</f>
        <v>3.6726721217119316E-4</v>
      </c>
      <c r="Q16">
        <f>_xlfn.STDEV.P([1]!x[minMaxPar_50_26.txt])</f>
        <v>5.5489296598172893E-4</v>
      </c>
      <c r="T16">
        <v>26</v>
      </c>
      <c r="V16" s="6">
        <f>N16/[1]!x__8[[#Totals],[minMaxPar_50_26.txt]]</f>
        <v>3.7647813714463936E-3</v>
      </c>
      <c r="W16" s="5">
        <f>O16/[1]!x__5[[#Totals],[minMaxPar_50_26.txt]]</f>
        <v>2.9260824480311625E-3</v>
      </c>
      <c r="X16" s="5">
        <f>P16/[1]!x__3[[#Totals],[minMaxPar_50_26.txt]]</f>
        <v>5.871239468252464E-3</v>
      </c>
      <c r="Y16" s="5">
        <f>Q16/[1]!x[[#Totals],[minMaxPar_50_26.txt]]</f>
        <v>1.1783580763671692E-2</v>
      </c>
      <c r="AA16" s="5"/>
      <c r="AC16" s="5"/>
    </row>
    <row r="17" spans="2:32" x14ac:dyDescent="0.25">
      <c r="B17" s="1"/>
      <c r="C17" s="1"/>
      <c r="D17">
        <v>27</v>
      </c>
      <c r="F17">
        <f>AVERAGE([1]!x__8[minMaxPar_50_27.txt])</f>
        <v>6.9445668000000002E-2</v>
      </c>
      <c r="G17">
        <f>AVERAGE([1]!x__5[minMaxPar_50_27.txt])</f>
        <v>6.9014033999999974E-2</v>
      </c>
      <c r="H17">
        <f>SUBTOTAL(101,[1]!x__3[minMaxPar_50_27.txt])</f>
        <v>9.7358976E-2</v>
      </c>
      <c r="I17">
        <f>AVERAGE([1]!x[minMaxPar_50_27.txt])</f>
        <v>8.3415582000000002E-2</v>
      </c>
      <c r="L17">
        <v>27</v>
      </c>
      <c r="N17" s="7">
        <f>STDEVPA([1]!x__8[minMaxPar_50_27.txt])</f>
        <v>1.2162649125910026E-4</v>
      </c>
      <c r="O17">
        <f>STDEVPA([1]!x__5[minMaxPar_50_27.txt])</f>
        <v>9.5351764766048831E-5</v>
      </c>
      <c r="P17">
        <f>_xlfn.STDEV.P([1]!x__3[minMaxPar_50_27.txt])</f>
        <v>6.4326394195850841E-4</v>
      </c>
      <c r="Q17">
        <f>_xlfn.STDEV.P([1]!x[minMaxPar_50_27.txt])</f>
        <v>2.5450312901023511E-4</v>
      </c>
      <c r="T17">
        <v>27</v>
      </c>
      <c r="V17" s="6">
        <f>N17/[1]!x__8[[#Totals],[minMaxPar_50_27.txt]]</f>
        <v>1.7513906160295017E-3</v>
      </c>
      <c r="W17" s="5">
        <f>O17/[1]!x__5[[#Totals],[minMaxPar_50_27.txt]]</f>
        <v>1.3816286230427983E-3</v>
      </c>
      <c r="X17" s="5">
        <f>P17/[1]!x__3[[#Totals],[minMaxPar_50_27.txt]]</f>
        <v>6.607135452600779E-3</v>
      </c>
      <c r="Y17" s="5">
        <f>Q17/[1]!x[[#Totals],[minMaxPar_50_27.txt]]</f>
        <v>3.0510262340462373E-3</v>
      </c>
      <c r="AA17" s="5"/>
      <c r="AC17" s="5"/>
    </row>
    <row r="18" spans="2:32" x14ac:dyDescent="0.25">
      <c r="B18" s="1"/>
      <c r="C18" s="1"/>
      <c r="D18">
        <v>28</v>
      </c>
      <c r="F18">
        <f>AVERAGE([1]!x__8[minMaxPar_50_28.txt])</f>
        <v>0.13680924</v>
      </c>
      <c r="G18">
        <f>AVERAGE([1]!x__5[minMaxPar_50_28.txt])</f>
        <v>0.13631027999999998</v>
      </c>
      <c r="H18">
        <f>SUBTOTAL(101,[1]!x__3[minMaxPar_50_28.txt])</f>
        <v>0.1661038</v>
      </c>
      <c r="I18">
        <f>AVERAGE([1]!x[minMaxPar_50_28.txt])</f>
        <v>0.15705087999999998</v>
      </c>
      <c r="L18">
        <v>28</v>
      </c>
      <c r="N18" s="7">
        <f>STDEVPA([1]!x__8[minMaxPar_50_28.txt])</f>
        <v>1.0824889098739187E-4</v>
      </c>
      <c r="O18">
        <f>STDEVPA([1]!x__5[minMaxPar_50_28.txt])</f>
        <v>7.9356169262384291E-5</v>
      </c>
      <c r="P18">
        <f>_xlfn.STDEV.P([1]!x__3[minMaxPar_50_28.txt])</f>
        <v>4.1055128790444827E-4</v>
      </c>
      <c r="Q18">
        <f>_xlfn.STDEV.P([1]!x[minMaxPar_50_28.txt])</f>
        <v>7.9472384235028349E-4</v>
      </c>
      <c r="T18">
        <v>28</v>
      </c>
      <c r="V18" s="6">
        <f>N18/[1]!x__8[[#Totals],[minMaxPar_50_28.txt]]</f>
        <v>7.9123961939553107E-4</v>
      </c>
      <c r="W18" s="5">
        <f>O18/[1]!x__5[[#Totals],[minMaxPar_50_28.txt]]</f>
        <v>5.8217303392219802E-4</v>
      </c>
      <c r="X18" s="5">
        <f>P18/[1]!x__3[[#Totals],[minMaxPar_50_28.txt]]</f>
        <v>2.471655000695037E-3</v>
      </c>
      <c r="Y18" s="5">
        <f>Q18/[1]!x[[#Totals],[minMaxPar_50_28.txt]]</f>
        <v>5.0602953791171598E-3</v>
      </c>
      <c r="AA18" s="5"/>
      <c r="AC18" s="5"/>
    </row>
    <row r="19" spans="2:32" x14ac:dyDescent="0.25">
      <c r="B19" s="1"/>
      <c r="C19" s="1"/>
      <c r="D19">
        <v>29</v>
      </c>
      <c r="F19">
        <f>AVERAGE([1]!x__8[minMaxPar_50_29.txt])</f>
        <v>0.27332997999999992</v>
      </c>
      <c r="G19">
        <f>AVERAGE([1]!x__5[minMaxPar_50_29.txt])</f>
        <v>0.27247336</v>
      </c>
      <c r="H19">
        <f>SUBTOTAL(101,[1]!x__3[minMaxPar_50_29.txt])</f>
        <v>0.30822346</v>
      </c>
      <c r="I19">
        <f>AVERAGE([1]!x[minMaxPar_50_29.txt])</f>
        <v>0.30339294</v>
      </c>
      <c r="L19">
        <v>29</v>
      </c>
      <c r="N19" s="7">
        <f>STDEVPA([1]!x__8[minMaxPar_50_29.txt])</f>
        <v>1.4973089060043684E-4</v>
      </c>
      <c r="O19">
        <f>STDEVPA([1]!x__5[minMaxPar_50_29.txt])</f>
        <v>1.7405180378266585E-4</v>
      </c>
      <c r="P19">
        <f>_xlfn.STDEV.P([1]!x__3[minMaxPar_50_29.txt])</f>
        <v>3.083580522704105E-4</v>
      </c>
      <c r="Q19">
        <f>_xlfn.STDEV.P([1]!x[minMaxPar_50_29.txt])</f>
        <v>3.3561492279098851E-4</v>
      </c>
      <c r="T19">
        <v>29</v>
      </c>
      <c r="V19" s="6">
        <f>N19/[1]!x__8[[#Totals],[minMaxPar_50_29.txt]]</f>
        <v>5.4780266182449832E-4</v>
      </c>
      <c r="W19" s="5">
        <f>O19/[1]!x__5[[#Totals],[minMaxPar_50_29.txt]]</f>
        <v>6.3878466424264688E-4</v>
      </c>
      <c r="X19" s="5">
        <f>P19/[1]!x__3[[#Totals],[minMaxPar_50_29.txt]]</f>
        <v>1.0004366710775698E-3</v>
      </c>
      <c r="Y19" s="5">
        <f>Q19/[1]!x[[#Totals],[minMaxPar_50_29.txt]]</f>
        <v>1.1062054469394987E-3</v>
      </c>
      <c r="AA19" s="5"/>
      <c r="AC19" s="5"/>
    </row>
    <row r="20" spans="2:32" x14ac:dyDescent="0.25">
      <c r="B20" s="1"/>
      <c r="C20" s="1"/>
      <c r="D20">
        <v>30</v>
      </c>
      <c r="F20">
        <f>AVERAGE([1]!x__8[minMaxPar_50_30.txt])</f>
        <v>0.54756092000000012</v>
      </c>
      <c r="G20">
        <f>AVERAGE([1]!x__5[minMaxPar_50_30.txt])</f>
        <v>0.54422028</v>
      </c>
      <c r="H20">
        <f>SUBTOTAL(101,[1]!x__3[minMaxPar_50_30.txt])</f>
        <v>0.58856969999999986</v>
      </c>
      <c r="I20">
        <f>AVERAGE([1]!x[minMaxPar_50_30.txt])</f>
        <v>0.59875998000000008</v>
      </c>
      <c r="L20">
        <v>30</v>
      </c>
      <c r="N20" s="7">
        <f>STDEVPA([1]!x__8[minMaxPar_50_30.txt])</f>
        <v>1.3187658472981411E-4</v>
      </c>
      <c r="O20">
        <f>STDEVPA([1]!x__5[minMaxPar_50_30.txt])</f>
        <v>2.3504796450086497E-3</v>
      </c>
      <c r="P20">
        <f>_xlfn.STDEV.P([1]!x__3[minMaxPar_50_30.txt])</f>
        <v>3.4767911930398237E-4</v>
      </c>
      <c r="Q20">
        <f>_xlfn.STDEV.P([1]!x[minMaxPar_50_30.txt])</f>
        <v>4.6786162441474259E-4</v>
      </c>
      <c r="T20">
        <v>30</v>
      </c>
      <c r="V20" s="6">
        <f>N20/[1]!x__8[[#Totals],[minMaxPar_50_30.txt]]</f>
        <v>2.4084367585950817E-4</v>
      </c>
      <c r="W20" s="5">
        <f>O20/[1]!x__5[[#Totals],[minMaxPar_50_30.txt]]</f>
        <v>4.3189857698956932E-3</v>
      </c>
      <c r="X20" s="5">
        <f>P20/[1]!x__3[[#Totals],[minMaxPar_50_30.txt]]</f>
        <v>5.9071868515144844E-4</v>
      </c>
      <c r="Y20" s="5">
        <f>Q20/[1]!x[[#Totals],[minMaxPar_50_30.txt]]</f>
        <v>7.8138426087652436E-4</v>
      </c>
      <c r="AA20" s="5"/>
      <c r="AC20" s="5"/>
    </row>
    <row r="21" spans="2:32" x14ac:dyDescent="0.25">
      <c r="B21" s="1"/>
      <c r="C21" s="1"/>
    </row>
    <row r="24" spans="2:32" ht="15" customHeight="1" x14ac:dyDescent="0.25">
      <c r="B24" s="3"/>
      <c r="C24" s="3"/>
    </row>
    <row r="25" spans="2:32" x14ac:dyDescent="0.25">
      <c r="B25" s="3"/>
      <c r="C25" s="3"/>
    </row>
    <row r="26" spans="2:32" x14ac:dyDescent="0.25">
      <c r="B26" s="3"/>
      <c r="C26" s="3"/>
    </row>
    <row r="27" spans="2:32" x14ac:dyDescent="0.25">
      <c r="B27" s="3"/>
      <c r="C27" s="3"/>
      <c r="E27" t="s">
        <v>0</v>
      </c>
      <c r="F27" t="s">
        <v>0</v>
      </c>
      <c r="G27" t="s">
        <v>0</v>
      </c>
      <c r="H27" t="s">
        <v>0</v>
      </c>
      <c r="I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2:32" x14ac:dyDescent="0.25">
      <c r="B28" s="3"/>
      <c r="C28" s="3"/>
      <c r="E28" s="8" t="s">
        <v>2</v>
      </c>
      <c r="F28" s="8" t="s">
        <v>7</v>
      </c>
      <c r="G28" s="8" t="s">
        <v>8</v>
      </c>
      <c r="H28" s="8" t="s">
        <v>9</v>
      </c>
      <c r="I28" s="9">
        <v>100512</v>
      </c>
      <c r="K28" s="8"/>
      <c r="M28" s="8" t="s">
        <v>2</v>
      </c>
      <c r="N28" s="8" t="s">
        <v>7</v>
      </c>
      <c r="O28" s="8" t="s">
        <v>8</v>
      </c>
      <c r="P28" s="8" t="s">
        <v>9</v>
      </c>
      <c r="Q28" s="9">
        <v>100512</v>
      </c>
      <c r="S28" s="8"/>
      <c r="U28" s="8" t="s">
        <v>2</v>
      </c>
      <c r="V28" s="8" t="s">
        <v>7</v>
      </c>
      <c r="W28" s="8" t="s">
        <v>8</v>
      </c>
      <c r="X28" s="8" t="s">
        <v>9</v>
      </c>
      <c r="Y28" s="9">
        <v>100512</v>
      </c>
      <c r="AA28" s="8"/>
      <c r="AC28" s="8" t="s">
        <v>7</v>
      </c>
      <c r="AD28" s="8" t="s">
        <v>8</v>
      </c>
      <c r="AE28" s="8" t="s">
        <v>9</v>
      </c>
      <c r="AF28" s="9">
        <v>100512</v>
      </c>
    </row>
    <row r="29" spans="2:32" x14ac:dyDescent="0.25">
      <c r="B29" s="1" t="s">
        <v>10</v>
      </c>
      <c r="C29" s="1"/>
      <c r="D29">
        <v>15</v>
      </c>
      <c r="E29">
        <f>AVERAGE([1]!x__9[minMaxSeq_50_15.txt])</f>
        <v>6.9972440000000014E-3</v>
      </c>
      <c r="F29">
        <f>AVERAGE([1]!x__9[minMaxPar_50_15.txt])</f>
        <v>1.8741420000000001E-3</v>
      </c>
      <c r="G29">
        <f>AVERAGE([1]!x__6[minMaxPar_50_15.txt])</f>
        <v>1.431112E-3</v>
      </c>
      <c r="H29">
        <f>AVERAGE([1]!x__4[minMaxPar_50_15.txt])</f>
        <v>3.2739672000000011E-2</v>
      </c>
      <c r="I29">
        <f>SUBTOTAL(101,[1]!x__2[minMaxPar_50_15.txt])</f>
        <v>1.2986631999999998E-2</v>
      </c>
      <c r="L29">
        <v>15</v>
      </c>
      <c r="M29">
        <f>_xlfn.STDEV.S([1]!x__9[minMaxSeq_50_15.txt])</f>
        <v>3.2875980138101084E-4</v>
      </c>
      <c r="N29">
        <f>_xlfn.STDEV.S([1]!x__9[minMaxPar_50_15.txt])</f>
        <v>2.070865618971143E-4</v>
      </c>
      <c r="O29">
        <f>STDEVPA([1]!x__6[minMaxPar_50_15.txt])</f>
        <v>1.8591023601727797E-4</v>
      </c>
      <c r="P29">
        <f>_xlfn.STDEV.P([1]!x__4[minMaxPar_50_15.txt])</f>
        <v>5.947539975620171E-4</v>
      </c>
      <c r="Q29">
        <f>_xlfn.STDEV.P([1]!x__2[minMaxPar_50_15.txt])</f>
        <v>4.0203934953683321E-4</v>
      </c>
      <c r="T29">
        <v>15</v>
      </c>
      <c r="U29" s="6">
        <f>M29/[1]!x__9[[#Totals],[minMaxSeq_50_15.txt]]</f>
        <v>4.6984184256117237E-2</v>
      </c>
      <c r="V29" s="6">
        <f>N29/[1]!x__9[[#Totals],[minMaxPar_50_15.txt]]</f>
        <v>0.11049672964861483</v>
      </c>
      <c r="W29" s="6">
        <f>O29/[1]!x__6[[#Totals],[minMaxPar_50_15.txt]]</f>
        <v>0.12990614013248297</v>
      </c>
      <c r="X29" s="5">
        <f>P29/[1]!x__4[[#Totals],[minMaxPar_50_15.txt]]</f>
        <v>1.816615626332533E-2</v>
      </c>
      <c r="Y29" s="5">
        <f>Q29/[1]!x__2[[#Totals],[minMaxPar_50_15.txt]]</f>
        <v>3.095793809640816E-2</v>
      </c>
      <c r="AA29" s="5"/>
      <c r="AB29">
        <v>15</v>
      </c>
      <c r="AC29" s="11">
        <f>($E29/F29)</f>
        <v>3.7335719491906167</v>
      </c>
      <c r="AD29" s="11">
        <f>($E29/G29)</f>
        <v>4.8893755345493588</v>
      </c>
      <c r="AE29" s="11">
        <f>($E29/H29)</f>
        <v>0.2137237049900805</v>
      </c>
      <c r="AF29" s="11">
        <f>($E29/I29)</f>
        <v>0.53880359434224379</v>
      </c>
    </row>
    <row r="30" spans="2:32" x14ac:dyDescent="0.25">
      <c r="B30" s="1"/>
      <c r="C30" s="1"/>
      <c r="D30">
        <v>16</v>
      </c>
      <c r="E30">
        <f>AVERAGE([1]!x__9[minMaxSeq_50_16.txt])</f>
        <v>1.4218786000000004E-2</v>
      </c>
      <c r="F30">
        <f>AVERAGE([1]!x__9[minMaxPar_50_16.txt])</f>
        <v>1.8475239999999995E-3</v>
      </c>
      <c r="G30">
        <f>AVERAGE([1]!x__6[minMaxPar_50_16.txt])</f>
        <v>1.5614359999999994E-3</v>
      </c>
      <c r="H30">
        <f>AVERAGE([1]!x__4[minMaxPar_50_16.txt])</f>
        <v>3.2641056000000002E-2</v>
      </c>
      <c r="I30">
        <f>SUBTOTAL(101,[1]!x__2[minMaxPar_50_16.txt])</f>
        <v>1.3005298000000005E-2</v>
      </c>
      <c r="L30">
        <v>16</v>
      </c>
      <c r="M30">
        <f>_xlfn.STDEV.S([1]!x__9[minMaxSeq_50_16.txt])</f>
        <v>7.0943869390684144E-4</v>
      </c>
      <c r="N30">
        <f>_xlfn.STDEV.S([1]!x__9[minMaxPar_50_16.txt])</f>
        <v>3.0098779049072703E-4</v>
      </c>
      <c r="O30">
        <f>STDEVPA([1]!x__6[minMaxPar_50_16.txt])</f>
        <v>1.6693027976972903E-4</v>
      </c>
      <c r="P30">
        <f>_xlfn.STDEV.P([1]!x__4[minMaxPar_50_16.txt])</f>
        <v>5.5623152595299721E-4</v>
      </c>
      <c r="Q30">
        <f>_xlfn.STDEV.P([1]!x__2[minMaxPar_50_16.txt])</f>
        <v>3.0483685964134976E-4</v>
      </c>
      <c r="T30">
        <v>16</v>
      </c>
      <c r="U30" s="6">
        <f>M30/[1]!x__9[[#Totals],[minMaxSeq_50_16.txt]]</f>
        <v>4.9894463135378875E-2</v>
      </c>
      <c r="V30" s="6">
        <f>N30/[1]!x__9[[#Totals],[minMaxPar_50_16.txt]]</f>
        <v>0.16291414373546817</v>
      </c>
      <c r="W30" s="6">
        <f>O30/[1]!x__6[[#Totals],[minMaxPar_50_16.txt]]</f>
        <v>0.10690817924636623</v>
      </c>
      <c r="X30" s="5">
        <f>P30/[1]!x__4[[#Totals],[minMaxPar_50_16.txt]]</f>
        <v>1.7040855723325778E-2</v>
      </c>
      <c r="Y30" s="5">
        <f>Q30/[1]!x__2[[#Totals],[minMaxPar_50_16.txt]]</f>
        <v>2.343943673119598E-2</v>
      </c>
      <c r="AA30" s="5"/>
      <c r="AB30">
        <v>16</v>
      </c>
      <c r="AC30" s="11">
        <f>($E30/F30)</f>
        <v>7.6961306050692757</v>
      </c>
      <c r="AD30" s="11">
        <f>($E30/G30)</f>
        <v>9.1062240143047877</v>
      </c>
      <c r="AE30" s="11">
        <f>($E30/H30)</f>
        <v>0.43561047779826739</v>
      </c>
      <c r="AF30" s="11">
        <f>($E30/I30)</f>
        <v>1.0933072044946603</v>
      </c>
    </row>
    <row r="31" spans="2:32" x14ac:dyDescent="0.25">
      <c r="B31" s="1"/>
      <c r="C31" s="1"/>
      <c r="D31">
        <v>17</v>
      </c>
      <c r="E31">
        <f>AVERAGE([1]!x__9[minMaxSeq_50_17.txt])</f>
        <v>2.794737000000001E-2</v>
      </c>
      <c r="F31">
        <f>AVERAGE([1]!x__9[minMaxPar_50_17.txt])</f>
        <v>2.1146480000000007E-3</v>
      </c>
      <c r="G31">
        <f>AVERAGE([1]!x__6[minMaxPar_50_17.txt])</f>
        <v>1.8619819999999999E-3</v>
      </c>
      <c r="H31">
        <f>AVERAGE([1]!x__4[minMaxPar_50_17.txt])</f>
        <v>3.2771185999999994E-2</v>
      </c>
      <c r="I31">
        <f>SUBTOTAL(101,[1]!x__2[minMaxPar_50_17.txt])</f>
        <v>1.3055362000000004E-2</v>
      </c>
      <c r="L31">
        <v>17</v>
      </c>
      <c r="M31">
        <f>_xlfn.STDEV.S([1]!x__9[minMaxSeq_50_17.txt])</f>
        <v>8.7622184807320156E-4</v>
      </c>
      <c r="N31">
        <f>_xlfn.STDEV.S([1]!x__9[minMaxPar_50_17.txt])</f>
        <v>1.6690899297130119E-4</v>
      </c>
      <c r="O31">
        <f>STDEVPA([1]!x__6[minMaxPar_50_17.txt])</f>
        <v>3.269150768563603E-4</v>
      </c>
      <c r="P31">
        <f>_xlfn.STDEV.P([1]!x__4[minMaxPar_50_17.txt])</f>
        <v>5.8857656970355185E-4</v>
      </c>
      <c r="Q31">
        <f>_xlfn.STDEV.P([1]!x__2[minMaxPar_50_17.txt])</f>
        <v>2.7952985378309776E-4</v>
      </c>
      <c r="T31">
        <v>17</v>
      </c>
      <c r="U31" s="6">
        <f>M31/[1]!x__9[[#Totals],[minMaxSeq_50_17.txt]]</f>
        <v>3.1352569063679385E-2</v>
      </c>
      <c r="V31" s="6">
        <f>N31/[1]!x__9[[#Totals],[minMaxPar_50_17.txt]]</f>
        <v>7.8929917873471686E-2</v>
      </c>
      <c r="W31" s="6">
        <f>O31/[1]!x__6[[#Totals],[minMaxPar_50_17.txt]]</f>
        <v>0.17557370417993318</v>
      </c>
      <c r="X31" s="5">
        <f>P31/[1]!x__4[[#Totals],[minMaxPar_50_17.txt]]</f>
        <v>1.7960185197555927E-2</v>
      </c>
      <c r="Y31" s="5">
        <f>Q31/[1]!x__2[[#Totals],[minMaxPar_50_17.txt]]</f>
        <v>2.1411114742210722E-2</v>
      </c>
      <c r="AA31" s="5"/>
      <c r="AB31">
        <v>17</v>
      </c>
      <c r="AC31" s="11">
        <f>($E31/F31)</f>
        <v>13.216086081466042</v>
      </c>
      <c r="AD31" s="11">
        <f>($E31/G31)</f>
        <v>15.009473775793758</v>
      </c>
      <c r="AE31" s="11">
        <f>($E31/H31)</f>
        <v>0.85280313016440767</v>
      </c>
      <c r="AF31" s="11">
        <f>($E31/I31)</f>
        <v>2.1406813537610065</v>
      </c>
    </row>
    <row r="32" spans="2:32" x14ac:dyDescent="0.25">
      <c r="B32" s="1"/>
      <c r="C32" s="1"/>
      <c r="D32">
        <v>18</v>
      </c>
      <c r="E32">
        <f>AVERAGE([1]!x__9[minMaxSeq_50_18.txt])</f>
        <v>5.5393451999999996E-2</v>
      </c>
      <c r="F32">
        <f>AVERAGE([1]!x__9[minMaxPar_50_18.txt])</f>
        <v>2.6355000000000007E-3</v>
      </c>
      <c r="G32">
        <f>AVERAGE([1]!x__6[minMaxPar_50_18.txt])</f>
        <v>2.4487620000000006E-3</v>
      </c>
      <c r="H32">
        <f>AVERAGE([1]!x__4[minMaxPar_50_18.txt])</f>
        <v>3.2623720000000009E-2</v>
      </c>
      <c r="I32">
        <f>SUBTOTAL(101,[1]!x__2[minMaxPar_50_18.txt])</f>
        <v>1.3235490000000003E-2</v>
      </c>
      <c r="L32">
        <v>18</v>
      </c>
      <c r="M32">
        <f>_xlfn.STDEV.S([1]!x__9[minMaxSeq_50_18.txt])</f>
        <v>1.3783817098529502E-3</v>
      </c>
      <c r="N32">
        <f>_xlfn.STDEV.S([1]!x__9[minMaxPar_50_18.txt])</f>
        <v>1.746647669575251E-4</v>
      </c>
      <c r="O32">
        <f>STDEVPA([1]!x__6[minMaxPar_50_18.txt])</f>
        <v>1.960495058805301E-4</v>
      </c>
      <c r="P32">
        <f>_xlfn.STDEV.P([1]!x__4[minMaxPar_50_18.txt])</f>
        <v>3.7560005591053897E-4</v>
      </c>
      <c r="Q32">
        <f>_xlfn.STDEV.P([1]!x__2[minMaxPar_50_18.txt])</f>
        <v>3.5403237380217059E-4</v>
      </c>
      <c r="T32">
        <v>18</v>
      </c>
      <c r="U32" s="6">
        <f>M32/[1]!x__9[[#Totals],[minMaxSeq_50_18.txt]]</f>
        <v>2.4883477380195591E-2</v>
      </c>
      <c r="V32" s="6">
        <f>N32/[1]!x__9[[#Totals],[minMaxPar_50_18.txt]]</f>
        <v>6.6273863387412271E-2</v>
      </c>
      <c r="W32" s="6">
        <f>O32/[1]!x__6[[#Totals],[minMaxPar_50_18.txt]]</f>
        <v>8.0060661624335089E-2</v>
      </c>
      <c r="X32" s="5">
        <f>P32/[1]!x__4[[#Totals],[minMaxPar_50_18.txt]]</f>
        <v>1.1513097093481028E-2</v>
      </c>
      <c r="Y32" s="5">
        <f>Q32/[1]!x__2[[#Totals],[minMaxPar_50_18.txt]]</f>
        <v>2.6748716806266372E-2</v>
      </c>
      <c r="AA32" s="5"/>
      <c r="AB32">
        <v>18</v>
      </c>
      <c r="AC32" s="11">
        <f>($E32/F32)</f>
        <v>21.018194649971534</v>
      </c>
      <c r="AD32" s="11">
        <f>($E32/G32)</f>
        <v>22.621002776096649</v>
      </c>
      <c r="AE32" s="11">
        <f>($E32/H32)</f>
        <v>1.6979502031037534</v>
      </c>
      <c r="AF32" s="11">
        <f>($E32/I32)</f>
        <v>4.1852210987277374</v>
      </c>
    </row>
    <row r="33" spans="2:32" x14ac:dyDescent="0.25">
      <c r="B33" s="1"/>
      <c r="C33" s="1"/>
      <c r="D33">
        <v>19</v>
      </c>
      <c r="E33">
        <f>AVERAGE([1]!x__9[minMaxSeq_50_19.txt])</f>
        <v>0.10976636000000005</v>
      </c>
      <c r="F33">
        <f>AVERAGE([1]!x__9[minMaxPar_50_19.txt])</f>
        <v>3.7016160000000009E-3</v>
      </c>
      <c r="G33">
        <f>AVERAGE([1]!x__6[minMaxPar_50_19.txt])</f>
        <v>3.3460339999999995E-3</v>
      </c>
      <c r="H33">
        <f>AVERAGE([1]!x__4[minMaxPar_50_19.txt])</f>
        <v>3.3042228E-2</v>
      </c>
      <c r="I33">
        <f>SUBTOTAL(101,[1]!x__2[minMaxPar_50_19.txt])</f>
        <v>1.3626338000000002E-2</v>
      </c>
      <c r="L33">
        <v>19</v>
      </c>
      <c r="M33">
        <f>_xlfn.STDEV.S([1]!x__9[minMaxSeq_50_19.txt])</f>
        <v>2.4964101471627504E-3</v>
      </c>
      <c r="N33">
        <f>_xlfn.STDEV.S([1]!x__9[minMaxPar_50_19.txt])</f>
        <v>1.3460139393401386E-4</v>
      </c>
      <c r="O33">
        <f>STDEVPA([1]!x__6[minMaxPar_50_19.txt])</f>
        <v>9.5202782753446832E-5</v>
      </c>
      <c r="P33">
        <f>_xlfn.STDEV.P([1]!x__4[minMaxPar_50_19.txt])</f>
        <v>5.7885033231052036E-4</v>
      </c>
      <c r="Q33">
        <f>_xlfn.STDEV.P([1]!x__2[minMaxPar_50_19.txt])</f>
        <v>3.4811229790974047E-4</v>
      </c>
      <c r="T33">
        <v>19</v>
      </c>
      <c r="U33" s="6">
        <f>M33/[1]!x__9[[#Totals],[minMaxSeq_50_19.txt]]</f>
        <v>2.2742943713927922E-2</v>
      </c>
      <c r="V33" s="6">
        <f>N33/[1]!x__9[[#Totals],[minMaxPar_50_19.txt]]</f>
        <v>3.6362873386654324E-2</v>
      </c>
      <c r="W33" s="6">
        <f>O33/[1]!x__6[[#Totals],[minMaxPar_50_19.txt]]</f>
        <v>2.8452425394794808E-2</v>
      </c>
      <c r="X33" s="5">
        <f>P33/[1]!x__4[[#Totals],[minMaxPar_50_19.txt]]</f>
        <v>1.7518501848922546E-2</v>
      </c>
      <c r="Y33" s="5">
        <f>Q33/[1]!x__2[[#Totals],[minMaxPar_50_19.txt]]</f>
        <v>2.5547017688078811E-2</v>
      </c>
      <c r="AA33" s="5"/>
      <c r="AB33">
        <v>19</v>
      </c>
      <c r="AC33" s="11">
        <f>($E33/F33)</f>
        <v>29.653632359488402</v>
      </c>
      <c r="AD33" s="11">
        <f>($E33/G33)</f>
        <v>32.804914713956904</v>
      </c>
      <c r="AE33" s="11">
        <f>($E33/H33)</f>
        <v>3.3220023782899886</v>
      </c>
      <c r="AF33" s="11">
        <f>($E33/I33)</f>
        <v>8.0554555449894192</v>
      </c>
    </row>
    <row r="34" spans="2:32" x14ac:dyDescent="0.25">
      <c r="B34" s="1"/>
      <c r="C34" s="1"/>
      <c r="D34">
        <v>20</v>
      </c>
      <c r="E34">
        <f>AVERAGE([1]!x__9[minMaxSeq_50_20.txt])</f>
        <v>0.21867504000000001</v>
      </c>
      <c r="F34">
        <f>AVERAGE([1]!x__9[minMaxPar_50_20.txt])</f>
        <v>5.684083999999999E-3</v>
      </c>
      <c r="G34">
        <f>AVERAGE([1]!x__6[minMaxPar_50_20.txt])</f>
        <v>5.3935560000000016E-3</v>
      </c>
      <c r="H34">
        <f>AVERAGE([1]!x__4[minMaxPar_50_20.txt])</f>
        <v>3.3272792000000002E-2</v>
      </c>
      <c r="I34">
        <f>SUBTOTAL(101,[1]!x__2[minMaxPar_50_20.txt])</f>
        <v>1.5509504000000007E-2</v>
      </c>
      <c r="L34">
        <v>20</v>
      </c>
      <c r="M34">
        <f>_xlfn.STDEV.S([1]!x__9[minMaxSeq_50_20.txt])</f>
        <v>5.8106015809949695E-3</v>
      </c>
      <c r="N34">
        <f>_xlfn.STDEV.S([1]!x__9[minMaxPar_50_20.txt])</f>
        <v>1.465693029085628E-4</v>
      </c>
      <c r="O34">
        <f>STDEVPA([1]!x__6[minMaxPar_50_20.txt])</f>
        <v>1.1602827613991345E-4</v>
      </c>
      <c r="P34">
        <f>_xlfn.STDEV.P([1]!x__4[minMaxPar_50_20.txt])</f>
        <v>4.4515628753955661E-4</v>
      </c>
      <c r="Q34">
        <f>_xlfn.STDEV.P([1]!x__2[minMaxPar_50_20.txt])</f>
        <v>6.4988902497580307E-4</v>
      </c>
      <c r="T34">
        <v>20</v>
      </c>
      <c r="U34" s="6">
        <f>M34/[1]!x__9[[#Totals],[minMaxSeq_50_20.txt]]</f>
        <v>2.65718555761781E-2</v>
      </c>
      <c r="V34" s="6">
        <f>N34/[1]!x__9[[#Totals],[minMaxPar_50_20.txt]]</f>
        <v>2.5785914301858105E-2</v>
      </c>
      <c r="W34" s="6">
        <f>O34/[1]!x__6[[#Totals],[minMaxPar_50_20.txt]]</f>
        <v>2.1512389254865143E-2</v>
      </c>
      <c r="X34" s="5">
        <f>P34/[1]!x__4[[#Totals],[minMaxPar_50_20.txt]]</f>
        <v>1.3378988079496201E-2</v>
      </c>
      <c r="Y34" s="5">
        <f>Q34/[1]!x__2[[#Totals],[minMaxPar_50_20.txt]]</f>
        <v>4.1902631120621446E-2</v>
      </c>
      <c r="AA34" s="5"/>
      <c r="AB34">
        <v>20</v>
      </c>
      <c r="AC34" s="11">
        <f>($E34/F34)</f>
        <v>38.471465235207653</v>
      </c>
      <c r="AD34" s="11">
        <f>($E34/G34)</f>
        <v>40.543759998042098</v>
      </c>
      <c r="AE34" s="11">
        <f>($E34/H34)</f>
        <v>6.5721878704979133</v>
      </c>
      <c r="AF34" s="11">
        <f>($E34/I34)</f>
        <v>14.099421877063245</v>
      </c>
    </row>
    <row r="35" spans="2:32" x14ac:dyDescent="0.25">
      <c r="B35" s="1"/>
      <c r="C35" s="1"/>
      <c r="D35">
        <v>21</v>
      </c>
      <c r="E35">
        <f>AVERAGE([1]!x__9[minMaxSeq_50_21.txt])</f>
        <v>0.43768526000000002</v>
      </c>
      <c r="F35">
        <f>AVERAGE([1]!x__9[minMaxPar_50_21.txt])</f>
        <v>9.6556380000000011E-3</v>
      </c>
      <c r="G35">
        <f>AVERAGE([1]!x__6[minMaxPar_50_21.txt])</f>
        <v>9.4327439999999999E-3</v>
      </c>
      <c r="H35">
        <f>AVERAGE([1]!x__4[minMaxPar_50_21.txt])</f>
        <v>3.6581114000000005E-2</v>
      </c>
      <c r="I35">
        <f>SUBTOTAL(101,[1]!x__2[minMaxPar_50_21.txt])</f>
        <v>1.9154846E-2</v>
      </c>
      <c r="L35">
        <v>21</v>
      </c>
      <c r="M35">
        <f>_xlfn.STDEV.S([1]!x__9[minMaxSeq_50_21.txt])</f>
        <v>9.8216938973200059E-3</v>
      </c>
      <c r="N35">
        <f>_xlfn.STDEV.S([1]!x__9[minMaxPar_50_21.txt])</f>
        <v>1.314149028451337E-4</v>
      </c>
      <c r="O35">
        <f>STDEVPA([1]!x__6[minMaxPar_50_21.txt])</f>
        <v>9.8518898576059979E-4</v>
      </c>
      <c r="P35">
        <f>_xlfn.STDEV.P([1]!x__4[minMaxPar_50_21.txt])</f>
        <v>4.1454454960112544E-4</v>
      </c>
      <c r="Q35">
        <f>_xlfn.STDEV.P([1]!x__2[minMaxPar_50_21.txt])</f>
        <v>4.2783773709667079E-4</v>
      </c>
      <c r="T35">
        <v>21</v>
      </c>
      <c r="U35" s="6">
        <f>M35/[1]!x__9[[#Totals],[minMaxSeq_50_21.txt]]</f>
        <v>2.2440083765489397E-2</v>
      </c>
      <c r="V35" s="6">
        <f>N35/[1]!x__9[[#Totals],[minMaxPar_50_21.txt]]</f>
        <v>1.361017292126462E-2</v>
      </c>
      <c r="W35" s="6">
        <f>O35/[1]!x__6[[#Totals],[minMaxPar_50_21.txt]]</f>
        <v>0.10444351990901055</v>
      </c>
      <c r="X35" s="5">
        <f>P35/[1]!x__4[[#Totals],[minMaxPar_50_21.txt]]</f>
        <v>1.133220135398625E-2</v>
      </c>
      <c r="Y35" s="5">
        <f>Q35/[1]!x__2[[#Totals],[minMaxPar_50_21.txt]]</f>
        <v>2.2335744025124022E-2</v>
      </c>
      <c r="AA35" s="5"/>
      <c r="AB35">
        <v>21</v>
      </c>
      <c r="AC35" s="11">
        <f>($E35/F35)</f>
        <v>45.329501789524414</v>
      </c>
      <c r="AD35" s="11">
        <f>($E35/G35)</f>
        <v>46.40062955169779</v>
      </c>
      <c r="AE35" s="11">
        <f>($E35/H35)</f>
        <v>11.964787622378038</v>
      </c>
      <c r="AF35" s="11">
        <f>($E35/I35)</f>
        <v>22.849844890426162</v>
      </c>
    </row>
    <row r="36" spans="2:32" x14ac:dyDescent="0.25">
      <c r="B36" s="1"/>
      <c r="C36" s="1"/>
      <c r="D36">
        <v>22</v>
      </c>
      <c r="E36">
        <f>AVERAGE([1]!x__9[minMaxSeq_50_22.txt])</f>
        <v>0.87515435999999991</v>
      </c>
      <c r="F36">
        <f>AVERAGE([1]!x__9[minMaxPar_50_22.txt])</f>
        <v>1.7320970000000002E-2</v>
      </c>
      <c r="G36">
        <f>AVERAGE([1]!x__6[minMaxPar_50_22.txt])</f>
        <v>1.7150445999999993E-2</v>
      </c>
      <c r="H36">
        <f>AVERAGE([1]!x__4[minMaxPar_50_22.txt])</f>
        <v>4.3782427999999998E-2</v>
      </c>
      <c r="I36">
        <f>SUBTOTAL(101,[1]!x__2[minMaxPar_50_22.txt])</f>
        <v>2.7720553999999998E-2</v>
      </c>
      <c r="L36">
        <v>22</v>
      </c>
      <c r="M36">
        <f>_xlfn.STDEV.S([1]!x__9[minMaxSeq_50_22.txt])</f>
        <v>2.09800963507836E-2</v>
      </c>
      <c r="N36">
        <f>_xlfn.STDEV.S([1]!x__9[minMaxPar_50_22.txt])</f>
        <v>1.7213469482723492E-4</v>
      </c>
      <c r="O36">
        <f>STDEVPA([1]!x__6[minMaxPar_50_22.txt])</f>
        <v>1.6860561581394601E-4</v>
      </c>
      <c r="P36">
        <f>_xlfn.STDEV.P([1]!x__4[minMaxPar_50_22.txt])</f>
        <v>3.6169186888289313E-4</v>
      </c>
      <c r="Q36">
        <f>_xlfn.STDEV.P([1]!x__2[minMaxPar_50_22.txt])</f>
        <v>5.5061404820799863E-4</v>
      </c>
      <c r="T36">
        <v>22</v>
      </c>
      <c r="U36" s="6">
        <f>M36/[1]!x__9[[#Totals],[minMaxSeq_50_22.txt]]</f>
        <v>2.3973023856938339E-2</v>
      </c>
      <c r="V36" s="6">
        <f>N36/[1]!x__9[[#Totals],[minMaxPar_50_22.txt]]</f>
        <v>9.937936202604988E-3</v>
      </c>
      <c r="W36" s="6">
        <f>O36/[1]!x__6[[#Totals],[minMaxPar_50_22.txt]]</f>
        <v>9.8309755801071347E-3</v>
      </c>
      <c r="X36" s="5">
        <f>P36/[1]!x__4[[#Totals],[minMaxPar_50_22.txt]]</f>
        <v>8.2611194811510486E-3</v>
      </c>
      <c r="Y36" s="5">
        <f>Q36/[1]!x__2[[#Totals],[minMaxPar_50_22.txt]]</f>
        <v>1.9863024678655365E-2</v>
      </c>
      <c r="AA36" s="5"/>
      <c r="AB36">
        <v>22</v>
      </c>
      <c r="AC36" s="11">
        <f>($E36/F36)</f>
        <v>50.525713051867179</v>
      </c>
      <c r="AD36" s="11">
        <f>($E36/G36)</f>
        <v>51.028081718691183</v>
      </c>
      <c r="AE36" s="11">
        <f>($E36/H36)</f>
        <v>19.988712366522932</v>
      </c>
      <c r="AF36" s="11">
        <f>($E36/I36)</f>
        <v>31.570594151906199</v>
      </c>
    </row>
    <row r="37" spans="2:32" x14ac:dyDescent="0.25">
      <c r="B37" s="1"/>
      <c r="C37" s="1"/>
      <c r="D37">
        <v>23</v>
      </c>
      <c r="E37">
        <f>AVERAGE([1]!x__9[minMaxSeq_50_23.txt])</f>
        <v>1.7651883999999998</v>
      </c>
      <c r="F37">
        <f>AVERAGE([1]!x__9[minMaxPar_50_23.txt])</f>
        <v>3.2803008000000002E-2</v>
      </c>
      <c r="G37">
        <f>AVERAGE([1]!x__6[minMaxPar_50_23.txt])</f>
        <v>3.2530717999999993E-2</v>
      </c>
      <c r="H37">
        <f>AVERAGE([1]!x__4[minMaxPar_50_23.txt])</f>
        <v>5.9339863999999999E-2</v>
      </c>
      <c r="I37">
        <f>SUBTOTAL(101,[1]!x__2[minMaxPar_50_23.txt])</f>
        <v>4.4442053999999995E-2</v>
      </c>
      <c r="L37">
        <v>23</v>
      </c>
      <c r="M37">
        <f>_xlfn.STDEV.S([1]!x__9[minMaxSeq_50_23.txt])</f>
        <v>3.2593699050520772E-2</v>
      </c>
      <c r="N37">
        <f>_xlfn.STDEV.S([1]!x__9[minMaxPar_50_23.txt])</f>
        <v>1.5826206739301212E-4</v>
      </c>
      <c r="O37">
        <f>STDEVPA([1]!x__6[minMaxPar_50_23.txt])</f>
        <v>9.994647705647254E-5</v>
      </c>
      <c r="P37">
        <f>_xlfn.STDEV.P([1]!x__4[minMaxPar_50_23.txt])</f>
        <v>3.1430345894374102E-4</v>
      </c>
      <c r="Q37">
        <f>_xlfn.STDEV.P([1]!x__2[minMaxPar_50_23.txt])</f>
        <v>3.2017280659668774E-4</v>
      </c>
      <c r="T37">
        <v>23</v>
      </c>
      <c r="U37" s="6">
        <f>M37/[1]!x__9[[#Totals],[minMaxSeq_50_23.txt]]</f>
        <v>1.8464714050081439E-2</v>
      </c>
      <c r="V37" s="6">
        <f>N37/[1]!x__9[[#Totals],[minMaxPar_50_23.txt]]</f>
        <v>4.8246205772657222E-3</v>
      </c>
      <c r="W37" s="6">
        <f>O37/[1]!x__6[[#Totals],[minMaxPar_50_23.txt]]</f>
        <v>3.0723723053537448E-3</v>
      </c>
      <c r="X37" s="5">
        <f>P37/[1]!x__4[[#Totals],[minMaxPar_50_23.txt]]</f>
        <v>5.2966663176670075E-3</v>
      </c>
      <c r="Y37" s="5">
        <f>Q37/[1]!x__2[[#Totals],[minMaxPar_50_23.txt]]</f>
        <v>7.2042756303902552E-3</v>
      </c>
      <c r="AA37" s="5"/>
      <c r="AB37">
        <v>23</v>
      </c>
      <c r="AC37" s="11">
        <f>($E37/F37)</f>
        <v>53.811784577804559</v>
      </c>
      <c r="AD37" s="11">
        <f>($E37/G37)</f>
        <v>54.262202266792883</v>
      </c>
      <c r="AE37" s="11">
        <f>($E37/H37)</f>
        <v>29.747092106581164</v>
      </c>
      <c r="AF37" s="11">
        <f>($E37/I37)</f>
        <v>39.718875279706921</v>
      </c>
    </row>
    <row r="38" spans="2:32" x14ac:dyDescent="0.25">
      <c r="B38" s="1"/>
      <c r="C38" s="1"/>
      <c r="D38">
        <v>24</v>
      </c>
      <c r="E38">
        <f>AVERAGE([1]!x__9[minMaxSeq_50_24.txt])</f>
        <v>3.4896515999999984</v>
      </c>
      <c r="F38">
        <f>AVERAGE([1]!x__9[minMaxPar_50_24.txt])</f>
        <v>6.3494821999999992E-2</v>
      </c>
      <c r="G38">
        <f>AVERAGE([1]!x__6[minMaxPar_50_24.txt])</f>
        <v>6.3643273999999986E-2</v>
      </c>
      <c r="H38">
        <f>AVERAGE([1]!x__4[minMaxPar_50_24.txt])</f>
        <v>9.1466647999999998E-2</v>
      </c>
      <c r="I38">
        <f>SUBTOTAL(101,[1]!x__2[minMaxPar_50_24.txt])</f>
        <v>7.8077848000000005E-2</v>
      </c>
      <c r="L38">
        <v>24</v>
      </c>
      <c r="M38">
        <f>_xlfn.STDEV.S([1]!x__9[minMaxSeq_50_24.txt])</f>
        <v>4.8987249001497236E-2</v>
      </c>
      <c r="N38">
        <f>_xlfn.STDEV.S([1]!x__9[minMaxPar_50_24.txt])</f>
        <v>1.293680705173716E-4</v>
      </c>
      <c r="O38">
        <f>STDEVPA([1]!x__6[minMaxPar_50_24.txt])</f>
        <v>7.1725251391961003E-4</v>
      </c>
      <c r="P38">
        <f>_xlfn.STDEV.P([1]!x__4[minMaxPar_50_24.txt])</f>
        <v>2.9327001431445277E-4</v>
      </c>
      <c r="Q38">
        <f>_xlfn.STDEV.P([1]!x__2[minMaxPar_50_24.txt])</f>
        <v>2.7114581556055825E-4</v>
      </c>
      <c r="T38">
        <v>24</v>
      </c>
      <c r="U38" s="6">
        <f>M38/[1]!x__9[[#Totals],[minMaxSeq_50_24.txt]]</f>
        <v>1.4037862404802032E-2</v>
      </c>
      <c r="V38" s="6">
        <f>N38/[1]!x__9[[#Totals],[minMaxPar_50_24.txt]]</f>
        <v>2.0374585902039636E-3</v>
      </c>
      <c r="W38" s="6">
        <f>O38/[1]!x__6[[#Totals],[minMaxPar_50_24.txt]]</f>
        <v>1.1269887119880259E-2</v>
      </c>
      <c r="X38" s="5">
        <f>P38/[1]!x__4[[#Totals],[minMaxPar_50_24.txt]]</f>
        <v>3.2063054755702078E-3</v>
      </c>
      <c r="Y38" s="5">
        <f>Q38/[1]!x__2[[#Totals],[minMaxPar_50_24.txt]]</f>
        <v>3.4727624096473333E-3</v>
      </c>
      <c r="AA38" s="5"/>
      <c r="AB38">
        <v>24</v>
      </c>
      <c r="AC38" s="11">
        <f>($E38/F38)</f>
        <v>54.959624896656912</v>
      </c>
      <c r="AD38" s="11">
        <f>($E38/G38)</f>
        <v>54.831428062610343</v>
      </c>
      <c r="AE38" s="11">
        <f>($E38/H38)</f>
        <v>38.152175424642202</v>
      </c>
      <c r="AF38" s="11">
        <f>($E38/I38)</f>
        <v>44.694515658269658</v>
      </c>
    </row>
    <row r="39" spans="2:32" x14ac:dyDescent="0.25">
      <c r="B39" s="1"/>
      <c r="C39" s="1"/>
      <c r="D39">
        <v>25</v>
      </c>
      <c r="E39">
        <f>AVERAGE([1]!x__9[minMaxSeq_50_25.txt])</f>
        <v>6.985761199999998</v>
      </c>
      <c r="F39">
        <f>AVERAGE([1]!x__9[minMaxPar_50_25.txt])</f>
        <v>0.12568108</v>
      </c>
      <c r="G39">
        <f>AVERAGE([1]!x__6[minMaxPar_50_25.txt])</f>
        <v>0.12583144000000002</v>
      </c>
      <c r="H39">
        <f>AVERAGE([1]!x__4[minMaxPar_50_25.txt])</f>
        <v>0.15506656000000008</v>
      </c>
      <c r="I39">
        <f>SUBTOTAL(101,[1]!x__2[minMaxPar_50_25.txt])</f>
        <v>0.14537173999999997</v>
      </c>
      <c r="L39">
        <v>25</v>
      </c>
      <c r="M39">
        <f>_xlfn.STDEV.S([1]!x__9[minMaxSeq_50_25.txt])</f>
        <v>8.4015789372217028E-2</v>
      </c>
      <c r="N39">
        <f>_xlfn.STDEV.S([1]!x__9[minMaxPar_50_25.txt])</f>
        <v>1.6386640153192154E-4</v>
      </c>
      <c r="O39">
        <f>STDEVPA([1]!x__6[minMaxPar_50_25.txt])</f>
        <v>3.2873802092243541E-4</v>
      </c>
      <c r="P39">
        <f>_xlfn.STDEV.P([1]!x__4[minMaxPar_50_25.txt])</f>
        <v>3.0753153724455575E-4</v>
      </c>
      <c r="Q39">
        <f>_xlfn.STDEV.P([1]!x__2[minMaxPar_50_25.txt])</f>
        <v>2.7033459342082008E-4</v>
      </c>
      <c r="T39">
        <v>25</v>
      </c>
      <c r="U39" s="6">
        <f>M39/[1]!x__9[[#Totals],[minMaxSeq_50_25.txt]]</f>
        <v>1.202671934623489E-2</v>
      </c>
      <c r="V39" s="6">
        <f>N39/[1]!x__9[[#Totals],[minMaxPar_50_25.txt]]</f>
        <v>1.3038271276147654E-3</v>
      </c>
      <c r="W39" s="6">
        <f>O39/[1]!x__6[[#Totals],[minMaxPar_50_25.txt]]</f>
        <v>2.6125268925034583E-3</v>
      </c>
      <c r="X39" s="5">
        <f>P39/[1]!x__4[[#Totals],[minMaxPar_50_25.txt]]</f>
        <v>1.9832227995807451E-3</v>
      </c>
      <c r="Y39" s="5">
        <f>Q39/[1]!x__2[[#Totals],[minMaxPar_50_25.txt]]</f>
        <v>1.8596089819164312E-3</v>
      </c>
      <c r="AA39" s="5"/>
      <c r="AB39">
        <v>25</v>
      </c>
      <c r="AC39" s="11">
        <f>($E39/F39)</f>
        <v>55.583236553982495</v>
      </c>
      <c r="AD39" s="11">
        <f>($E39/G39)</f>
        <v>55.516818372260516</v>
      </c>
      <c r="AE39" s="11">
        <f>($E39/H39)</f>
        <v>45.050081719746636</v>
      </c>
      <c r="AF39" s="11">
        <f>($E39/I39)</f>
        <v>48.054465056275717</v>
      </c>
    </row>
    <row r="40" spans="2:32" x14ac:dyDescent="0.25">
      <c r="B40" s="1"/>
      <c r="C40" s="1"/>
      <c r="D40">
        <v>26</v>
      </c>
      <c r="F40">
        <f>AVERAGE([1]!x__9[minMaxPar_50_26.txt])</f>
        <v>0.24994232000000005</v>
      </c>
      <c r="G40">
        <f>AVERAGE([1]!x__6[minMaxPar_50_26.txt])</f>
        <v>0.25017845999999994</v>
      </c>
      <c r="H40">
        <f>AVERAGE([1]!x__4[minMaxPar_50_26.txt])</f>
        <v>0.28254445999999994</v>
      </c>
      <c r="I40">
        <f>SUBTOTAL(101,[1]!x__2[minMaxPar_50_26.txt])</f>
        <v>0.27917985999999995</v>
      </c>
      <c r="L40">
        <v>26</v>
      </c>
      <c r="N40">
        <f>_xlfn.STDEV.S([1]!x__9[minMaxPar_50_26.txt])</f>
        <v>7.4787539723935182E-4</v>
      </c>
      <c r="O40">
        <f>STDEVPA([1]!x__6[minMaxPar_50_26.txt])</f>
        <v>1.2183451235179849E-4</v>
      </c>
      <c r="P40">
        <f>_xlfn.STDEV.P([1]!x__4[minMaxPar_50_26.txt])</f>
        <v>3.4126225750879863E-4</v>
      </c>
      <c r="Q40">
        <f>_xlfn.STDEV.P([1]!x__2[minMaxPar_50_26.txt])</f>
        <v>3.0945940024501285E-4</v>
      </c>
      <c r="T40">
        <v>26</v>
      </c>
      <c r="V40" s="6">
        <f>N40/[1]!x__9[[#Totals],[minMaxPar_50_26.txt]]</f>
        <v>2.9921919474835299E-3</v>
      </c>
      <c r="W40" s="6">
        <f>O40/[1]!x__6[[#Totals],[minMaxPar_50_26.txt]]</f>
        <v>4.8699041616851634E-4</v>
      </c>
      <c r="X40" s="5">
        <f>P40/[1]!x__4[[#Totals],[minMaxPar_50_26.txt]]</f>
        <v>1.2078179041585125E-3</v>
      </c>
      <c r="Y40" s="5">
        <f>Q40/[1]!x__2[[#Totals],[minMaxPar_50_26.txt]]</f>
        <v>1.1084588990230631E-3</v>
      </c>
      <c r="AA40" s="5"/>
      <c r="AC40" s="5"/>
    </row>
    <row r="41" spans="2:32" x14ac:dyDescent="0.25">
      <c r="B41" s="1"/>
      <c r="C41" s="1"/>
      <c r="D41">
        <v>27</v>
      </c>
      <c r="F41">
        <f>AVERAGE([1]!x__9[minMaxPar_50_27.txt])</f>
        <v>0.49960715999999988</v>
      </c>
      <c r="G41">
        <f>AVERAGE([1]!x__6[minMaxPar_50_27.txt])</f>
        <v>0.49924224000000011</v>
      </c>
      <c r="H41">
        <f>AVERAGE([1]!x__4[minMaxPar_50_27.txt])</f>
        <v>0.53724573999999992</v>
      </c>
      <c r="I41">
        <f>SUBTOTAL(101,[1]!x__2[minMaxPar_50_27.txt])</f>
        <v>0.54708221999999995</v>
      </c>
      <c r="L41">
        <v>27</v>
      </c>
      <c r="N41">
        <f>_xlfn.STDEV.S([1]!x__9[minMaxPar_50_27.txt])</f>
        <v>1.2264838742835128E-4</v>
      </c>
      <c r="O41">
        <f>STDEVPA([1]!x__6[minMaxPar_50_27.txt])</f>
        <v>1.068049736669592E-4</v>
      </c>
      <c r="P41">
        <f>_xlfn.STDEV.P([1]!x__4[minMaxPar_50_27.txt])</f>
        <v>2.4084615919711479E-4</v>
      </c>
      <c r="Q41">
        <f>_xlfn.STDEV.P([1]!x__2[minMaxPar_50_27.txt])</f>
        <v>2.9816923315459755E-4</v>
      </c>
      <c r="T41">
        <v>27</v>
      </c>
      <c r="V41" s="6">
        <f>N41/[1]!x__9[[#Totals],[minMaxPar_50_27.txt]]</f>
        <v>2.4548965116583056E-4</v>
      </c>
      <c r="W41" s="6">
        <f>O41/[1]!x__6[[#Totals],[minMaxPar_50_27.txt]]</f>
        <v>2.1393416884548706E-4</v>
      </c>
      <c r="X41" s="5">
        <f>P41/[1]!x__4[[#Totals],[minMaxPar_50_27.txt]]</f>
        <v>4.4829794126820781E-4</v>
      </c>
      <c r="Y41" s="5">
        <f>Q41/[1]!x__2[[#Totals],[minMaxPar_50_27.txt]]</f>
        <v>5.4501722456744728E-4</v>
      </c>
      <c r="AA41" s="5"/>
      <c r="AC41" s="5"/>
    </row>
    <row r="42" spans="2:32" x14ac:dyDescent="0.25">
      <c r="B42" s="1"/>
      <c r="C42" s="1"/>
      <c r="D42">
        <v>28</v>
      </c>
      <c r="F42">
        <f>AVERAGE([1]!x__9[minMaxPar_50_28.txt])</f>
        <v>0.99723408000000002</v>
      </c>
      <c r="G42">
        <f>AVERAGE([1]!x__6[minMaxPar_50_28.txt])</f>
        <v>0.99979777999999964</v>
      </c>
      <c r="H42">
        <f>AVERAGE([1]!x__4[minMaxPar_50_28.txt])</f>
        <v>1.0470691999999997</v>
      </c>
      <c r="I42">
        <f>SUBTOTAL(101,[1]!x__2[minMaxPar_50_28.txt])</f>
        <v>1.0987540000000002</v>
      </c>
      <c r="L42">
        <v>28</v>
      </c>
      <c r="N42">
        <f>_xlfn.STDEV.S([1]!x__9[minMaxPar_50_28.txt])</f>
        <v>1.4130661962916194E-3</v>
      </c>
      <c r="O42">
        <f>STDEVPA([1]!x__6[minMaxPar_50_28.txt])</f>
        <v>2.6680817850283354E-3</v>
      </c>
      <c r="P42">
        <f>_xlfn.STDEV.P([1]!x__4[minMaxPar_50_28.txt])</f>
        <v>3.5629673026845858E-4</v>
      </c>
      <c r="Q42">
        <f>_xlfn.STDEV.P([1]!x__2[minMaxPar_50_28.txt])</f>
        <v>3.0319630604610896E-4</v>
      </c>
      <c r="T42">
        <v>28</v>
      </c>
      <c r="V42" s="6">
        <f>N42/[1]!x__9[[#Totals],[minMaxPar_50_28.txt]]</f>
        <v>1.4169854647282205E-3</v>
      </c>
      <c r="W42" s="6">
        <f>O42/[1]!x__6[[#Totals],[minMaxPar_50_28.txt]]</f>
        <v>2.6686214336546499E-3</v>
      </c>
      <c r="X42" s="5">
        <f>P42/[1]!x__4[[#Totals],[minMaxPar_50_28.txt]]</f>
        <v>3.402800218633675E-4</v>
      </c>
      <c r="Y42" s="5">
        <f>Q42/[1]!x__2[[#Totals],[minMaxPar_50_28.txt]]</f>
        <v>2.759455765768397E-4</v>
      </c>
      <c r="AA42" s="5"/>
      <c r="AC42" s="5"/>
    </row>
    <row r="43" spans="2:32" x14ac:dyDescent="0.25">
      <c r="B43" s="1"/>
      <c r="C43" s="1"/>
      <c r="D43">
        <v>29</v>
      </c>
      <c r="F43">
        <f>AVERAGE([1]!x__9[minMaxPar_50_29.txt])</f>
        <v>2.0022243999999998</v>
      </c>
      <c r="G43">
        <f>AVERAGE([1]!x__6[minMaxPar_50_29.txt])</f>
        <v>2.0011431999999996</v>
      </c>
      <c r="H43">
        <f>AVERAGE([1]!x__4[minMaxPar_50_29.txt])</f>
        <v>2.0654635999999997</v>
      </c>
      <c r="I43">
        <f>SUBTOTAL(101,[1]!x__2[minMaxPar_50_29.txt])</f>
        <v>2.1858873999999999</v>
      </c>
      <c r="L43">
        <v>29</v>
      </c>
      <c r="N43">
        <f>_xlfn.STDEV.S([1]!x__9[minMaxPar_50_29.txt])</f>
        <v>2.052490771561851E-4</v>
      </c>
      <c r="O43">
        <f>STDEVPA([1]!x__6[minMaxPar_50_29.txt])</f>
        <v>2.3629168415329176E-4</v>
      </c>
      <c r="P43">
        <f>_xlfn.STDEV.P([1]!x__4[minMaxPar_50_29.txt])</f>
        <v>4.89737725726738E-4</v>
      </c>
      <c r="Q43">
        <f>_xlfn.STDEV.P([1]!x__2[minMaxPar_50_29.txt])</f>
        <v>4.3854217585085953E-4</v>
      </c>
      <c r="T43">
        <v>29</v>
      </c>
      <c r="V43" s="6">
        <f>N43/[1]!x__9[[#Totals],[minMaxPar_50_29.txt]]</f>
        <v>1.0251052637066311E-4</v>
      </c>
      <c r="W43" s="6">
        <f>O43/[1]!x__6[[#Totals],[minMaxPar_50_29.txt]]</f>
        <v>1.180783484926475E-4</v>
      </c>
      <c r="X43" s="5">
        <f>P43/[1]!x__4[[#Totals],[minMaxPar_50_29.txt]]</f>
        <v>2.3710789467640004E-4</v>
      </c>
      <c r="Y43" s="5">
        <f>Q43/[1]!x__2[[#Totals],[minMaxPar_50_29.txt]]</f>
        <v>2.0062432120284858E-4</v>
      </c>
      <c r="AA43" s="5"/>
      <c r="AC43" s="5"/>
    </row>
    <row r="44" spans="2:32" x14ac:dyDescent="0.25">
      <c r="B44" s="1"/>
      <c r="C44" s="1"/>
      <c r="D44">
        <v>30</v>
      </c>
      <c r="F44">
        <f>AVERAGE([1]!x__9[minMaxPar_50_30.txt])</f>
        <v>4.0020401999999988</v>
      </c>
      <c r="G44">
        <f>AVERAGE([1]!x__6[minMaxPar_50_30.txt])</f>
        <v>4.0004062000000005</v>
      </c>
      <c r="H44">
        <f>AVERAGE([1]!x__4[minMaxPar_50_30.txt])</f>
        <v>4.1053688000000008</v>
      </c>
      <c r="I44">
        <f>SUBTOTAL(101,[1]!x__2[minMaxPar_50_30.txt])</f>
        <v>4.3599582000000012</v>
      </c>
      <c r="L44">
        <v>30</v>
      </c>
      <c r="N44">
        <f>_xlfn.STDEV.S([1]!x__9[minMaxPar_50_30.txt])</f>
        <v>2.8470170569296885E-4</v>
      </c>
      <c r="O44">
        <f>STDEVPA([1]!x__6[minMaxPar_50_30.txt])</f>
        <v>3.6294842608833468E-4</v>
      </c>
      <c r="P44">
        <f>_xlfn.STDEV.P([1]!x__4[minMaxPar_50_30.txt])</f>
        <v>1.3703570921479388E-3</v>
      </c>
      <c r="Q44">
        <f>_xlfn.STDEV.P([1]!x__2[minMaxPar_50_30.txt])</f>
        <v>6.3225213325063278E-4</v>
      </c>
      <c r="T44">
        <v>30</v>
      </c>
      <c r="V44" s="6">
        <f>N44/[1]!x__9[[#Totals],[minMaxPar_50_30.txt]]</f>
        <v>7.1139141903914141E-5</v>
      </c>
      <c r="W44" s="6">
        <f>O44/[1]!x__6[[#Totals],[minMaxPar_50_30.txt]]</f>
        <v>9.0727893104538892E-5</v>
      </c>
      <c r="X44" s="5">
        <f>P44/[1]!x__4[[#Totals],[minMaxPar_50_30.txt]]</f>
        <v>3.3379634301014283E-4</v>
      </c>
      <c r="Y44" s="5">
        <f>Q44/[1]!x__2[[#Totals],[minMaxPar_50_30.txt]]</f>
        <v>1.4501334743315488E-4</v>
      </c>
      <c r="AA44" s="5"/>
      <c r="AC44" s="5"/>
    </row>
    <row r="50" spans="2:33" ht="15" customHeight="1" x14ac:dyDescent="0.25">
      <c r="E50" s="4" t="s">
        <v>6</v>
      </c>
      <c r="F50" s="4"/>
      <c r="G50" s="4"/>
      <c r="H50" s="4"/>
      <c r="I50" s="4"/>
      <c r="J50" s="10"/>
      <c r="K50" s="10"/>
      <c r="M50" s="4" t="s">
        <v>5</v>
      </c>
      <c r="N50" s="4"/>
      <c r="O50" s="4"/>
      <c r="P50" s="4"/>
      <c r="Q50" s="4"/>
      <c r="R50" s="10"/>
      <c r="S50" s="10"/>
      <c r="U50" s="4" t="s">
        <v>4</v>
      </c>
      <c r="V50" s="4"/>
      <c r="W50" s="4"/>
      <c r="X50" s="4"/>
      <c r="Y50" s="4"/>
      <c r="Z50" s="10"/>
      <c r="AA50" s="10"/>
      <c r="AC50" s="4" t="s">
        <v>11</v>
      </c>
      <c r="AD50" s="4"/>
      <c r="AE50" s="4"/>
      <c r="AF50" s="4"/>
      <c r="AG50" s="4"/>
    </row>
    <row r="51" spans="2:33" ht="15" customHeight="1" x14ac:dyDescent="0.25">
      <c r="E51" s="4"/>
      <c r="F51" s="4"/>
      <c r="G51" s="4"/>
      <c r="H51" s="4"/>
      <c r="I51" s="4"/>
      <c r="J51" s="10"/>
      <c r="K51" s="10"/>
      <c r="M51" s="4"/>
      <c r="N51" s="4"/>
      <c r="O51" s="4"/>
      <c r="P51" s="4"/>
      <c r="Q51" s="4"/>
      <c r="R51" s="10"/>
      <c r="S51" s="10"/>
      <c r="U51" s="4"/>
      <c r="V51" s="4"/>
      <c r="W51" s="4"/>
      <c r="X51" s="4"/>
      <c r="Y51" s="4"/>
      <c r="Z51" s="10"/>
      <c r="AA51" s="10"/>
      <c r="AC51" s="4"/>
      <c r="AD51" s="4"/>
      <c r="AE51" s="4"/>
      <c r="AF51" s="4"/>
      <c r="AG51" s="4"/>
    </row>
    <row r="52" spans="2:33" x14ac:dyDescent="0.25">
      <c r="E52" t="s">
        <v>1</v>
      </c>
      <c r="F52" t="s">
        <v>1</v>
      </c>
      <c r="G52" t="s">
        <v>1</v>
      </c>
      <c r="H52" t="s">
        <v>1</v>
      </c>
      <c r="I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AC52" t="s">
        <v>1</v>
      </c>
      <c r="AD52" t="s">
        <v>1</v>
      </c>
      <c r="AE52" t="s">
        <v>1</v>
      </c>
      <c r="AF52" t="s">
        <v>1</v>
      </c>
    </row>
    <row r="53" spans="2:33" x14ac:dyDescent="0.25">
      <c r="E53" s="8" t="s">
        <v>2</v>
      </c>
      <c r="F53" s="8" t="s">
        <v>7</v>
      </c>
      <c r="G53" s="8" t="s">
        <v>8</v>
      </c>
      <c r="H53" s="8" t="s">
        <v>9</v>
      </c>
      <c r="I53" s="9">
        <v>100512</v>
      </c>
      <c r="J53" s="8"/>
      <c r="M53" s="8" t="s">
        <v>2</v>
      </c>
      <c r="N53" s="8" t="s">
        <v>7</v>
      </c>
      <c r="O53" s="8" t="s">
        <v>8</v>
      </c>
      <c r="P53" s="8" t="s">
        <v>9</v>
      </c>
      <c r="Q53" s="9">
        <v>100512</v>
      </c>
      <c r="R53" s="8"/>
      <c r="U53" s="8" t="s">
        <v>2</v>
      </c>
      <c r="V53" s="8" t="s">
        <v>7</v>
      </c>
      <c r="W53" s="8" t="s">
        <v>8</v>
      </c>
      <c r="X53" s="8" t="s">
        <v>9</v>
      </c>
      <c r="Y53" s="9">
        <v>100512</v>
      </c>
      <c r="Z53" s="8"/>
      <c r="AC53" s="8" t="s">
        <v>7</v>
      </c>
      <c r="AD53" s="8" t="s">
        <v>8</v>
      </c>
      <c r="AE53" s="8" t="s">
        <v>9</v>
      </c>
      <c r="AF53" s="9">
        <v>100512</v>
      </c>
    </row>
    <row r="54" spans="2:33" x14ac:dyDescent="0.25">
      <c r="B54" s="1" t="s">
        <v>3</v>
      </c>
      <c r="C54" s="1"/>
      <c r="D54">
        <v>15</v>
      </c>
      <c r="E54">
        <f>AVERAGE([1]!x__8[monteSeq_50_15.txt])</f>
        <v>9.8698200000000014E-3</v>
      </c>
      <c r="F54">
        <f>AVERAGE([1]!x__8[montePar_50_15.txt])</f>
        <v>1.4004200000000001E-3</v>
      </c>
      <c r="G54">
        <f>AVERAGE([1]!x__5[montePar_50_15.txt])</f>
        <v>1.0514520000000002E-3</v>
      </c>
      <c r="H54">
        <f>SUBTOTAL(101,[1]!x__3[montePar_50_15.txt])</f>
        <v>2.5347829999999991E-2</v>
      </c>
      <c r="I54">
        <f>AVERAGE([1]!x[montePar_50_15.txt])</f>
        <v>9.6807359999999971E-3</v>
      </c>
      <c r="L54">
        <v>15</v>
      </c>
      <c r="M54" s="7">
        <f>STDEVPA([1]!x__8[monteSeq_50_15.txt])</f>
        <v>4.7068909186425816E-4</v>
      </c>
      <c r="N54" s="7">
        <f>STDEVPA([1]!x__8[montePar_50_15.txt])</f>
        <v>7.6200533882644157E-4</v>
      </c>
      <c r="O54">
        <f>STDEVPA([1]!x__5[montePar_50_15.txt])</f>
        <v>7.4236132799062205E-4</v>
      </c>
      <c r="P54">
        <f>_xlfn.STDEV.P([1]!x__3[montePar_50_15.txt])</f>
        <v>1.2684656036724049E-3</v>
      </c>
      <c r="Q54">
        <f>_xlfn.STDEV.P([1]!x[montePar_50_15.txt])</f>
        <v>8.765446901921203E-4</v>
      </c>
      <c r="T54">
        <v>15</v>
      </c>
      <c r="U54" s="6">
        <f>M54/[1]!x__8[[#Totals],[monteSeq_50_15.txt]]</f>
        <v>4.7689734145532348E-2</v>
      </c>
      <c r="V54" s="6">
        <f>N54/[1]!x__8[[#Totals],[montePar_50_15.txt]]</f>
        <v>0.54412628984621869</v>
      </c>
      <c r="W54" s="5">
        <f>O54/[1]!x__5[[#Totals],[montePar_50_15.txt]]</f>
        <v>0.70603444378880054</v>
      </c>
      <c r="X54" s="5">
        <f>P54/[1]!x__3[[#Totals],[montePar_50_15.txt]]</f>
        <v>5.0042374580877548E-2</v>
      </c>
      <c r="Y54" s="5">
        <f>Q54/[1]!x[[#Totals],[montePar_50_15.txt]]</f>
        <v>9.0545252984083086E-2</v>
      </c>
      <c r="Z54" s="5"/>
      <c r="AB54">
        <v>15</v>
      </c>
      <c r="AC54" s="11">
        <f>($E54/F54)</f>
        <v>7.0477571014409968</v>
      </c>
      <c r="AD54" s="11">
        <f>($E54/G54)</f>
        <v>9.3868479017587099</v>
      </c>
      <c r="AE54" s="11">
        <f>($E54/H54)</f>
        <v>0.38937534297807758</v>
      </c>
      <c r="AF54" s="11">
        <f>($E54/I54)</f>
        <v>1.0195319859977594</v>
      </c>
    </row>
    <row r="55" spans="2:33" x14ac:dyDescent="0.25">
      <c r="B55" s="1"/>
      <c r="C55" s="1"/>
      <c r="D55">
        <v>16</v>
      </c>
      <c r="E55">
        <f>AVERAGE([1]!x__8[monteSeq_50_16.txt])</f>
        <v>1.9966069999999999E-2</v>
      </c>
      <c r="F55">
        <f>AVERAGE([1]!x__8[montePar_50_16.txt])</f>
        <v>1.3192919999999999E-3</v>
      </c>
      <c r="G55">
        <f>AVERAGE([1]!x__5[montePar_50_16.txt])</f>
        <v>1.0055260000000003E-3</v>
      </c>
      <c r="H55">
        <f>SUBTOTAL(101,[1]!x__3[montePar_50_16.txt])</f>
        <v>2.4813886000000004E-2</v>
      </c>
      <c r="I55">
        <f>AVERAGE([1]!x[montePar_50_16.txt])</f>
        <v>9.0650639999999994E-3</v>
      </c>
      <c r="L55">
        <v>16</v>
      </c>
      <c r="M55" s="7">
        <f>STDEVPA([1]!x__8[monteSeq_50_16.txt])</f>
        <v>8.3493577124231565E-4</v>
      </c>
      <c r="N55" s="7">
        <f>STDEVPA([1]!x__8[montePar_50_16.txt])</f>
        <v>1.1916990197193247E-4</v>
      </c>
      <c r="O55">
        <f>STDEVPA([1]!x__5[montePar_50_16.txt])</f>
        <v>8.8027240806468518E-5</v>
      </c>
      <c r="P55">
        <f>_xlfn.STDEV.P([1]!x__3[montePar_50_16.txt])</f>
        <v>2.1780648016989749E-4</v>
      </c>
      <c r="Q55">
        <f>_xlfn.STDEV.P([1]!x[montePar_50_16.txt])</f>
        <v>1.2659673101624711E-4</v>
      </c>
      <c r="T55">
        <v>16</v>
      </c>
      <c r="U55" s="6">
        <f>M55/[1]!x__8[[#Totals],[monteSeq_50_16.txt]]</f>
        <v>4.1817732345039146E-2</v>
      </c>
      <c r="V55" s="6">
        <f>N55/[1]!x__8[[#Totals],[montePar_50_16.txt]]</f>
        <v>9.0328677784700037E-2</v>
      </c>
      <c r="W55" s="5">
        <f>O55/[1]!x__5[[#Totals],[montePar_50_16.txt]]</f>
        <v>8.7543475560521056E-2</v>
      </c>
      <c r="X55" s="5">
        <f>P55/[1]!x__3[[#Totals],[montePar_50_16.txt]]</f>
        <v>8.7776046109786059E-3</v>
      </c>
      <c r="Y55" s="5">
        <f>Q55/[1]!x[[#Totals],[montePar_50_16.txt]]</f>
        <v>1.3965343324244275E-2</v>
      </c>
      <c r="Z55" s="5"/>
      <c r="AB55">
        <v>16</v>
      </c>
      <c r="AC55" s="11">
        <f>($E55/F55)</f>
        <v>15.133927894658651</v>
      </c>
      <c r="AD55" s="11">
        <f>($E55/G55)</f>
        <v>19.856343843918498</v>
      </c>
      <c r="AE55" s="11">
        <f>($E55/H55)</f>
        <v>0.8046329381863041</v>
      </c>
      <c r="AF55" s="11">
        <f>($E55/I55)</f>
        <v>2.2025294029915288</v>
      </c>
    </row>
    <row r="56" spans="2:33" x14ac:dyDescent="0.25">
      <c r="B56" s="1"/>
      <c r="C56" s="1"/>
      <c r="D56">
        <v>17</v>
      </c>
      <c r="E56">
        <f>AVERAGE([1]!x__8[monteSeq_50_17.txt])</f>
        <v>3.9956145999999998E-2</v>
      </c>
      <c r="F56">
        <f>AVERAGE([1]!x__8[montePar_50_17.txt])</f>
        <v>1.314258E-3</v>
      </c>
      <c r="G56">
        <f>AVERAGE([1]!x__5[montePar_50_17.txt])</f>
        <v>1.0819179999999996E-3</v>
      </c>
      <c r="H56">
        <f>SUBTOTAL(101,[1]!x__3[montePar_50_17.txt])</f>
        <v>2.4767662000000006E-2</v>
      </c>
      <c r="I56">
        <f>AVERAGE([1]!x[montePar_50_17.txt])</f>
        <v>9.0602440000000003E-3</v>
      </c>
      <c r="L56">
        <v>17</v>
      </c>
      <c r="M56" s="7">
        <f>STDEVPA([1]!x__8[monteSeq_50_17.txt])</f>
        <v>1.3253036410136353E-3</v>
      </c>
      <c r="N56" s="7">
        <f>STDEVPA([1]!x__8[montePar_50_17.txt])</f>
        <v>2.630206912697174E-4</v>
      </c>
      <c r="O56">
        <f>STDEVPA([1]!x__5[montePar_50_17.txt])</f>
        <v>1.1955954782450459E-4</v>
      </c>
      <c r="P56">
        <f>_xlfn.STDEV.P([1]!x__3[montePar_50_17.txt])</f>
        <v>2.1827587854822634E-4</v>
      </c>
      <c r="Q56">
        <f>_xlfn.STDEV.P([1]!x[montePar_50_17.txt])</f>
        <v>2.7741876660384738E-4</v>
      </c>
      <c r="T56">
        <v>17</v>
      </c>
      <c r="U56" s="6">
        <f>M56/[1]!x__8[[#Totals],[monteSeq_50_17.txt]]</f>
        <v>3.3168955810043227E-2</v>
      </c>
      <c r="V56" s="6">
        <f>N56/[1]!x__8[[#Totals],[montePar_50_17.txt]]</f>
        <v>0.20012865911390107</v>
      </c>
      <c r="W56" s="5">
        <f>O56/[1]!x__5[[#Totals],[montePar_50_17.txt]]</f>
        <v>0.11050703271828792</v>
      </c>
      <c r="X56" s="5">
        <f>P56/[1]!x__3[[#Totals],[montePar_50_17.txt]]</f>
        <v>8.812938360844326E-3</v>
      </c>
      <c r="Y56" s="5">
        <f>Q56/[1]!x[[#Totals],[montePar_50_17.txt]]</f>
        <v>3.0619348287291973E-2</v>
      </c>
      <c r="Z56" s="5"/>
      <c r="AB56">
        <v>17</v>
      </c>
      <c r="AC56" s="11">
        <f>($E56/F56)</f>
        <v>30.402056521626651</v>
      </c>
      <c r="AD56" s="11">
        <f>($E56/G56)</f>
        <v>36.930845036315148</v>
      </c>
      <c r="AE56" s="11">
        <f>($E56/H56)</f>
        <v>1.6132385043045236</v>
      </c>
      <c r="AF56" s="11">
        <f>($E56/I56)</f>
        <v>4.4100518705677239</v>
      </c>
    </row>
    <row r="57" spans="2:33" x14ac:dyDescent="0.25">
      <c r="B57" s="1"/>
      <c r="C57" s="1"/>
      <c r="D57">
        <v>18</v>
      </c>
      <c r="E57">
        <f>AVERAGE([1]!x__8[monteSeq_50_18.txt])</f>
        <v>7.9254432000000014E-2</v>
      </c>
      <c r="F57">
        <f>AVERAGE([1]!x__8[montePar_50_18.txt])</f>
        <v>1.3603720000000003E-3</v>
      </c>
      <c r="G57">
        <f>AVERAGE([1]!x__5[montePar_50_18.txt])</f>
        <v>1.2933819999999998E-3</v>
      </c>
      <c r="H57">
        <f>SUBTOTAL(101,[1]!x__3[montePar_50_18.txt])</f>
        <v>2.4745970000000006E-2</v>
      </c>
      <c r="I57">
        <f>AVERAGE([1]!x[montePar_50_18.txt])</f>
        <v>9.1303700000000022E-3</v>
      </c>
      <c r="L57">
        <v>18</v>
      </c>
      <c r="M57" s="7">
        <f>STDEVPA([1]!x__8[monteSeq_50_18.txt])</f>
        <v>4.2304136064191169E-3</v>
      </c>
      <c r="N57" s="7">
        <f>STDEVPA([1]!x__8[montePar_50_18.txt])</f>
        <v>1.191433792369513E-4</v>
      </c>
      <c r="O57">
        <f>STDEVPA([1]!x__5[montePar_50_18.txt])</f>
        <v>1.3220471956779757E-4</v>
      </c>
      <c r="P57">
        <f>_xlfn.STDEV.P([1]!x__3[montePar_50_18.txt])</f>
        <v>2.0096714383202049E-4</v>
      </c>
      <c r="Q57">
        <f>_xlfn.STDEV.P([1]!x[montePar_50_18.txt])</f>
        <v>2.0289222878168607E-4</v>
      </c>
      <c r="T57">
        <v>18</v>
      </c>
      <c r="U57" s="6">
        <f>M57/[1]!x__8[[#Totals],[monteSeq_50_18.txt]]</f>
        <v>5.3377628224237555E-2</v>
      </c>
      <c r="V57" s="6">
        <f>N57/[1]!x__8[[#Totals],[montePar_50_18.txt]]</f>
        <v>8.7581469801606665E-2</v>
      </c>
      <c r="W57" s="5">
        <f>O57/[1]!x__5[[#Totals],[montePar_50_18.txt]]</f>
        <v>0.10221629771235226</v>
      </c>
      <c r="X57" s="5">
        <f>P57/[1]!x__3[[#Totals],[montePar_50_18.txt]]</f>
        <v>8.1212069614575808E-3</v>
      </c>
      <c r="Y57" s="5">
        <f>Q57/[1]!x[[#Totals],[montePar_50_18.txt]]</f>
        <v>2.2221687487110162E-2</v>
      </c>
      <c r="Z57" s="5"/>
      <c r="AB57">
        <v>18</v>
      </c>
      <c r="AC57" s="11">
        <f>($E57/F57)</f>
        <v>58.259381992572614</v>
      </c>
      <c r="AD57" s="11">
        <f>($E57/G57)</f>
        <v>61.276894219959786</v>
      </c>
      <c r="AE57" s="11">
        <f>($E57/H57)</f>
        <v>3.2027207662500197</v>
      </c>
      <c r="AF57" s="11">
        <f>($E57/I57)</f>
        <v>8.6803089031441214</v>
      </c>
    </row>
    <row r="58" spans="2:33" x14ac:dyDescent="0.25">
      <c r="B58" s="1"/>
      <c r="C58" s="1"/>
      <c r="D58">
        <v>19</v>
      </c>
      <c r="E58">
        <f>AVERAGE([1]!x__8[monteSeq_50_19.txt])</f>
        <v>0.15436032000000005</v>
      </c>
      <c r="F58">
        <f>AVERAGE([1]!x__8[montePar_50_19.txt])</f>
        <v>1.4609919999999999E-3</v>
      </c>
      <c r="G58">
        <f>AVERAGE([1]!x__5[montePar_50_19.txt])</f>
        <v>1.4104459999999999E-3</v>
      </c>
      <c r="H58">
        <f>SUBTOTAL(101,[1]!x__3[montePar_50_19.txt])</f>
        <v>2.4727509999999998E-2</v>
      </c>
      <c r="I58">
        <f>AVERAGE([1]!x[montePar_50_19.txt])</f>
        <v>9.1415639999999996E-3</v>
      </c>
      <c r="L58">
        <v>19</v>
      </c>
      <c r="M58" s="7">
        <f>STDEVPA([1]!x__8[monteSeq_50_19.txt])</f>
        <v>2.6451840044881569E-3</v>
      </c>
      <c r="N58" s="7">
        <f>STDEVPA([1]!x__8[montePar_50_19.txt])</f>
        <v>9.946497642889177E-5</v>
      </c>
      <c r="O58">
        <f>STDEVPA([1]!x__5[montePar_50_19.txt])</f>
        <v>1.2804875510523327E-4</v>
      </c>
      <c r="P58">
        <f>_xlfn.STDEV.P([1]!x__3[montePar_50_19.txt])</f>
        <v>2.0192487241546057E-4</v>
      </c>
      <c r="Q58">
        <f>_xlfn.STDEV.P([1]!x[montePar_50_19.txt])</f>
        <v>1.3998581608148738E-4</v>
      </c>
      <c r="T58">
        <v>19</v>
      </c>
      <c r="U58" s="6">
        <f>M58/[1]!x__8[[#Totals],[monteSeq_50_19.txt]]</f>
        <v>1.7136424726821996E-2</v>
      </c>
      <c r="V58" s="6">
        <f>N58/[1]!x__8[[#Totals],[montePar_50_19.txt]]</f>
        <v>6.8080438790145179E-2</v>
      </c>
      <c r="W58" s="5">
        <f>O58/[1]!x__5[[#Totals],[montePar_50_19.txt]]</f>
        <v>9.0786003225386352E-2</v>
      </c>
      <c r="X58" s="5">
        <f>P58/[1]!x__3[[#Totals],[montePar_50_19.txt]]</f>
        <v>8.1660010415711328E-3</v>
      </c>
      <c r="Y58" s="5">
        <f>Q58/[1]!x[[#Totals],[montePar_50_19.txt]]</f>
        <v>1.5313114482542307E-2</v>
      </c>
      <c r="Z58" s="5"/>
      <c r="AB58">
        <v>19</v>
      </c>
      <c r="AC58" s="11">
        <f>($E58/F58)</f>
        <v>105.65445943578067</v>
      </c>
      <c r="AD58" s="11">
        <f>($E58/G58)</f>
        <v>109.44078681495078</v>
      </c>
      <c r="AE58" s="11">
        <f>($E58/H58)</f>
        <v>6.2424530411675123</v>
      </c>
      <c r="AF58" s="11">
        <f>($E58/I58)</f>
        <v>16.885548249730579</v>
      </c>
    </row>
    <row r="59" spans="2:33" x14ac:dyDescent="0.25">
      <c r="B59" s="1"/>
      <c r="C59" s="1"/>
      <c r="D59">
        <v>20</v>
      </c>
      <c r="E59">
        <f>AVERAGE([1]!x__8[monteSeq_50_20.txt])</f>
        <v>0.30672274000000005</v>
      </c>
      <c r="F59">
        <f>AVERAGE([1]!x__8[montePar_50_20.txt])</f>
        <v>1.8015039999999998E-3</v>
      </c>
      <c r="G59">
        <f>AVERAGE([1]!x__5[montePar_50_20.txt])</f>
        <v>1.7900739999999994E-3</v>
      </c>
      <c r="H59">
        <f>SUBTOTAL(101,[1]!x__3[montePar_50_20.txt])</f>
        <v>2.4822824000000004E-2</v>
      </c>
      <c r="I59">
        <f>AVERAGE([1]!x[montePar_50_20.txt])</f>
        <v>9.2680160000000004E-3</v>
      </c>
      <c r="L59">
        <v>20</v>
      </c>
      <c r="M59" s="7">
        <f>STDEVPA([1]!x__8[monteSeq_50_20.txt])</f>
        <v>6.9255483878462665E-3</v>
      </c>
      <c r="N59" s="7">
        <f>STDEVPA([1]!x__8[montePar_50_20.txt])</f>
        <v>1.6812907417814441E-4</v>
      </c>
      <c r="O59">
        <f>STDEVPA([1]!x__5[montePar_50_20.txt])</f>
        <v>3.2168023178927237E-4</v>
      </c>
      <c r="P59">
        <f>_xlfn.STDEV.P([1]!x__3[montePar_50_20.txt])</f>
        <v>2.0850661530033069E-4</v>
      </c>
      <c r="Q59">
        <f>_xlfn.STDEV.P([1]!x[montePar_50_20.txt])</f>
        <v>1.912708596310478E-4</v>
      </c>
      <c r="T59">
        <v>20</v>
      </c>
      <c r="U59" s="6">
        <f>M59/[1]!x__8[[#Totals],[monteSeq_50_20.txt]]</f>
        <v>2.2579181406133322E-2</v>
      </c>
      <c r="V59" s="6">
        <f>N59/[1]!x__8[[#Totals],[montePar_50_20.txt]]</f>
        <v>9.3327061265556135E-2</v>
      </c>
      <c r="W59" s="5">
        <f>O59/[1]!x__5[[#Totals],[montePar_50_20.txt]]</f>
        <v>0.17970219766851678</v>
      </c>
      <c r="X59" s="5">
        <f>P59/[1]!x__3[[#Totals],[montePar_50_20.txt]]</f>
        <v>8.3997942901392151E-3</v>
      </c>
      <c r="Y59" s="5">
        <f>Q59/[1]!x[[#Totals],[montePar_50_20.txt]]</f>
        <v>2.0637735156159395E-2</v>
      </c>
      <c r="Z59" s="5"/>
      <c r="AB59">
        <v>20</v>
      </c>
      <c r="AC59" s="11">
        <f>($E59/F59)</f>
        <v>170.25926115068305</v>
      </c>
      <c r="AD59" s="11">
        <f>($E59/G59)</f>
        <v>171.34640243922885</v>
      </c>
      <c r="AE59" s="11">
        <f>($E59/H59)</f>
        <v>12.356480471359745</v>
      </c>
      <c r="AF59" s="11">
        <f>($E59/I59)</f>
        <v>33.094757281385796</v>
      </c>
    </row>
    <row r="60" spans="2:33" x14ac:dyDescent="0.25">
      <c r="B60" s="1"/>
      <c r="C60" s="1"/>
      <c r="D60">
        <v>21</v>
      </c>
      <c r="E60">
        <f>AVERAGE([1]!x__8[monteSeq_50_21.txt])</f>
        <v>0.61355301999999989</v>
      </c>
      <c r="F60">
        <f>AVERAGE([1]!x__8[montePar_50_21.txt])</f>
        <v>2.5276460000000001E-3</v>
      </c>
      <c r="G60">
        <f>AVERAGE([1]!x__5[montePar_50_21.txt])</f>
        <v>2.5923739999999997E-3</v>
      </c>
      <c r="H60">
        <f>SUBTOTAL(101,[1]!x__3[montePar_50_21.txt])</f>
        <v>2.4915128000000002E-2</v>
      </c>
      <c r="I60">
        <f>AVERAGE([1]!x[montePar_50_21.txt])</f>
        <v>9.4878299999999992E-3</v>
      </c>
      <c r="L60">
        <v>21</v>
      </c>
      <c r="M60" s="7">
        <f>STDEVPA([1]!x__8[monteSeq_50_21.txt])</f>
        <v>1.007520496762224E-2</v>
      </c>
      <c r="N60" s="7">
        <f>STDEVPA([1]!x__8[montePar_50_21.txt])</f>
        <v>8.5427761787372123E-5</v>
      </c>
      <c r="O60">
        <f>STDEVPA([1]!x__5[montePar_50_21.txt])</f>
        <v>4.384220887729084E-4</v>
      </c>
      <c r="P60">
        <f>_xlfn.STDEV.P([1]!x__3[montePar_50_21.txt])</f>
        <v>1.6102548374713859E-4</v>
      </c>
      <c r="Q60">
        <f>_xlfn.STDEV.P([1]!x[montePar_50_21.txt])</f>
        <v>1.6782262094247003E-4</v>
      </c>
      <c r="T60">
        <v>21</v>
      </c>
      <c r="U60" s="6">
        <f>M60/[1]!x__8[[#Totals],[monteSeq_50_21.txt]]</f>
        <v>1.6421082839136285E-2</v>
      </c>
      <c r="V60" s="6">
        <f>N60/[1]!x__8[[#Totals],[montePar_50_21.txt]]</f>
        <v>3.3797359989243797E-2</v>
      </c>
      <c r="W60" s="5">
        <f>O60/[1]!x__5[[#Totals],[montePar_50_21.txt]]</f>
        <v>0.16911992203783421</v>
      </c>
      <c r="X60" s="5">
        <f>P60/[1]!x__3[[#Totals],[montePar_50_21.txt]]</f>
        <v>6.4629603246324314E-3</v>
      </c>
      <c r="Y60" s="5">
        <f>Q60/[1]!x[[#Totals],[montePar_50_21.txt]]</f>
        <v>1.7688198559888832E-2</v>
      </c>
      <c r="Z60" s="5"/>
      <c r="AB60">
        <v>21</v>
      </c>
      <c r="AC60" s="11">
        <f>($E60/F60)</f>
        <v>242.73692597776741</v>
      </c>
      <c r="AD60" s="11">
        <f>($E60/G60)</f>
        <v>236.67612003514924</v>
      </c>
      <c r="AE60" s="11">
        <f>($E60/H60)</f>
        <v>24.62572217168621</v>
      </c>
      <c r="AF60" s="11">
        <f>($E60/I60)</f>
        <v>64.667370726499101</v>
      </c>
    </row>
    <row r="61" spans="2:33" x14ac:dyDescent="0.25">
      <c r="B61" s="1"/>
      <c r="C61" s="1"/>
      <c r="D61">
        <v>22</v>
      </c>
      <c r="E61">
        <f>AVERAGE([1]!x__8[monteSeq_50_22.txt])</f>
        <v>1.2297958000000004</v>
      </c>
      <c r="F61">
        <f>AVERAGE([1]!x__8[montePar_50_22.txt])</f>
        <v>3.9480940000000001E-3</v>
      </c>
      <c r="G61">
        <f>AVERAGE([1]!x__5[montePar_50_22.txt])</f>
        <v>3.7833580000000001E-3</v>
      </c>
      <c r="H61">
        <f>SUBTOTAL(101,[1]!x__3[montePar_50_22.txt])</f>
        <v>2.5221278000000003E-2</v>
      </c>
      <c r="I61">
        <f>AVERAGE([1]!x[montePar_50_22.txt])</f>
        <v>1.0301497999999997E-2</v>
      </c>
      <c r="L61">
        <v>22</v>
      </c>
      <c r="M61" s="7">
        <f>STDEVPA([1]!x__8[monteSeq_50_22.txt])</f>
        <v>1.6166265875581773E-2</v>
      </c>
      <c r="N61" s="7">
        <f>STDEVPA([1]!x__8[montePar_50_22.txt])</f>
        <v>1.7348815799356446E-4</v>
      </c>
      <c r="O61">
        <f>STDEVPA([1]!x__5[montePar_50_22.txt])</f>
        <v>9.5659715847372265E-5</v>
      </c>
      <c r="P61">
        <f>_xlfn.STDEV.P([1]!x__3[montePar_50_22.txt])</f>
        <v>1.8542088371054617E-4</v>
      </c>
      <c r="Q61">
        <f>_xlfn.STDEV.P([1]!x[montePar_50_22.txt])</f>
        <v>1.613517976224622E-4</v>
      </c>
      <c r="T61">
        <v>22</v>
      </c>
      <c r="U61" s="6">
        <f>M61/[1]!x__8[[#Totals],[monteSeq_50_22.txt]]</f>
        <v>1.314548795465212E-2</v>
      </c>
      <c r="V61" s="6">
        <f>N61/[1]!x__8[[#Totals],[montePar_50_22.txt]]</f>
        <v>4.3942256185785962E-2</v>
      </c>
      <c r="W61" s="5">
        <f>O61/[1]!x__5[[#Totals],[montePar_50_22.txt]]</f>
        <v>2.5284341541924465E-2</v>
      </c>
      <c r="X61" s="5">
        <f>P61/[1]!x__3[[#Totals],[montePar_50_22.txt]]</f>
        <v>7.3517640030194408E-3</v>
      </c>
      <c r="Y61" s="5">
        <f>Q61/[1]!x[[#Totals],[montePar_50_22.txt]]</f>
        <v>1.5662945100068187E-2</v>
      </c>
      <c r="Z61" s="5"/>
      <c r="AB61">
        <v>22</v>
      </c>
      <c r="AC61" s="11">
        <f>($E61/F61)</f>
        <v>311.4910131319063</v>
      </c>
      <c r="AD61" s="11">
        <f>($E61/G61)</f>
        <v>325.0540392952505</v>
      </c>
      <c r="AE61" s="11">
        <f>($E61/H61)</f>
        <v>48.760249183249172</v>
      </c>
      <c r="AF61" s="11">
        <f>($E61/I61)</f>
        <v>119.38028818721324</v>
      </c>
    </row>
    <row r="62" spans="2:33" x14ac:dyDescent="0.25">
      <c r="B62" s="1"/>
      <c r="C62" s="1"/>
      <c r="D62">
        <v>23</v>
      </c>
      <c r="E62">
        <f>AVERAGE([1]!x__8[monteSeq_50_23.txt])</f>
        <v>2.4624284000000007</v>
      </c>
      <c r="F62">
        <f>AVERAGE([1]!x__8[montePar_50_23.txt])</f>
        <v>6.6746779999999973E-3</v>
      </c>
      <c r="G62">
        <f>AVERAGE([1]!x__5[montePar_50_23.txt])</f>
        <v>6.5559060000000002E-3</v>
      </c>
      <c r="H62">
        <f>SUBTOTAL(101,[1]!x__3[montePar_50_23.txt])</f>
        <v>2.6745033999999997E-2</v>
      </c>
      <c r="I62">
        <f>AVERAGE([1]!x[montePar_50_23.txt])</f>
        <v>1.2934434E-2</v>
      </c>
      <c r="L62">
        <v>23</v>
      </c>
      <c r="M62" s="7">
        <f>STDEVPA([1]!x__8[monteSeq_50_23.txt])</f>
        <v>2.6592653599067591E-2</v>
      </c>
      <c r="N62" s="7">
        <f>STDEVPA([1]!x__8[montePar_50_23.txt])</f>
        <v>9.4904205792788762E-4</v>
      </c>
      <c r="O62">
        <f>STDEVPA([1]!x__5[montePar_50_23.txt])</f>
        <v>1.0252967575116972E-3</v>
      </c>
      <c r="P62">
        <f>_xlfn.STDEV.P([1]!x__3[montePar_50_23.txt])</f>
        <v>1.4076518690358061E-4</v>
      </c>
      <c r="Q62">
        <f>_xlfn.STDEV.P([1]!x[montePar_50_23.txt])</f>
        <v>1.9363406994638103E-4</v>
      </c>
      <c r="T62">
        <v>23</v>
      </c>
      <c r="U62" s="6">
        <f>M62/[1]!x__8[[#Totals],[monteSeq_50_23.txt]]</f>
        <v>1.0799361150589225E-2</v>
      </c>
      <c r="V62" s="6">
        <f>N62/[1]!x__8[[#Totals],[montePar_50_23.txt]]</f>
        <v>0.14218544444059894</v>
      </c>
      <c r="W62" s="5">
        <f>O62/[1]!x__5[[#Totals],[montePar_50_23.txt]]</f>
        <v>0.15639283990827466</v>
      </c>
      <c r="X62" s="5">
        <f>P62/[1]!x__3[[#Totals],[montePar_50_23.txt]]</f>
        <v>5.2632270687552919E-3</v>
      </c>
      <c r="Y62" s="5">
        <f>Q62/[1]!x[[#Totals],[montePar_50_23.txt]]</f>
        <v>1.4970432409054855E-2</v>
      </c>
      <c r="Z62" s="5"/>
      <c r="AB62">
        <v>23</v>
      </c>
      <c r="AC62" s="11">
        <f>($E62/F62)</f>
        <v>368.92092772115774</v>
      </c>
      <c r="AD62" s="11">
        <f>($E62/G62)</f>
        <v>375.60459225620389</v>
      </c>
      <c r="AE62" s="11">
        <f>($E62/H62)</f>
        <v>92.070490544151156</v>
      </c>
      <c r="AF62" s="11">
        <f>($E62/I62)</f>
        <v>190.37774671856539</v>
      </c>
    </row>
    <row r="63" spans="2:33" x14ac:dyDescent="0.25">
      <c r="B63" s="1"/>
      <c r="C63" s="1"/>
      <c r="D63">
        <v>24</v>
      </c>
      <c r="E63">
        <f>AVERAGE([1]!x__8[monteSeq_50_24.txt])</f>
        <v>4.9080325999999994</v>
      </c>
      <c r="F63">
        <f>AVERAGE([1]!x__8[montePar_50_24.txt])</f>
        <v>1.1796657999999998E-2</v>
      </c>
      <c r="G63">
        <f>AVERAGE([1]!x__5[montePar_50_24.txt])</f>
        <v>1.1588443999999998E-2</v>
      </c>
      <c r="H63">
        <f>SUBTOTAL(101,[1]!x__3[montePar_50_24.txt])</f>
        <v>3.1438103999999994E-2</v>
      </c>
      <c r="I63">
        <f>AVERAGE([1]!x[montePar_50_24.txt])</f>
        <v>1.8423234E-2</v>
      </c>
      <c r="L63">
        <v>24</v>
      </c>
      <c r="M63" s="7">
        <f>STDEVPA([1]!x__8[monteSeq_50_24.txt])</f>
        <v>3.8519947290202722E-2</v>
      </c>
      <c r="N63" s="7">
        <f>STDEVPA([1]!x__8[montePar_50_24.txt])</f>
        <v>1.6603057199202791E-4</v>
      </c>
      <c r="O63">
        <f>STDEVPA([1]!x__5[montePar_50_24.txt])</f>
        <v>1.0469015648092242E-4</v>
      </c>
      <c r="P63">
        <f>_xlfn.STDEV.P([1]!x__3[montePar_50_24.txt])</f>
        <v>2.1343945742059912E-4</v>
      </c>
      <c r="Q63">
        <f>_xlfn.STDEV.P([1]!x[montePar_50_24.txt])</f>
        <v>2.7018843469697225E-4</v>
      </c>
      <c r="T63">
        <v>24</v>
      </c>
      <c r="U63" s="6">
        <f>M63/[1]!x__8[[#Totals],[monteSeq_50_24.txt]]</f>
        <v>7.8483478879506074E-3</v>
      </c>
      <c r="V63" s="6">
        <f>N63/[1]!x__8[[#Totals],[montePar_50_24.txt]]</f>
        <v>1.4074373605815134E-2</v>
      </c>
      <c r="W63" s="5">
        <f>O63/[1]!x__5[[#Totals],[montePar_50_24.txt]]</f>
        <v>9.0340132360239595E-3</v>
      </c>
      <c r="X63" s="5">
        <f>P63/[1]!x__3[[#Totals],[montePar_50_24.txt]]</f>
        <v>6.7891962384436146E-3</v>
      </c>
      <c r="Y63" s="5">
        <f>Q63/[1]!x[[#Totals],[montePar_50_24.txt]]</f>
        <v>1.4665635506609331E-2</v>
      </c>
      <c r="Z63" s="5"/>
      <c r="AB63">
        <v>24</v>
      </c>
      <c r="AC63" s="11">
        <f>($E63/F63)</f>
        <v>416.05280071694881</v>
      </c>
      <c r="AD63" s="11">
        <f>($E63/G63)</f>
        <v>423.52818031480331</v>
      </c>
      <c r="AE63" s="11">
        <f>($E63/H63)</f>
        <v>156.1173218334032</v>
      </c>
      <c r="AF63" s="11">
        <f>($E63/I63)</f>
        <v>266.40450856782252</v>
      </c>
    </row>
    <row r="64" spans="2:33" x14ac:dyDescent="0.25">
      <c r="B64" s="1"/>
      <c r="C64" s="1"/>
      <c r="D64">
        <v>25</v>
      </c>
      <c r="E64">
        <f>AVERAGE([1]!x__8[monteSeq_50_25.txt])</f>
        <v>9.8325650000000007</v>
      </c>
      <c r="F64">
        <f>AVERAGE([1]!x__8[montePar_50_25.txt])</f>
        <v>2.2135037999999999E-2</v>
      </c>
      <c r="G64">
        <f>AVERAGE([1]!x__5[montePar_50_25.txt])</f>
        <v>2.1993992000000011E-2</v>
      </c>
      <c r="H64">
        <f>SUBTOTAL(101,[1]!x__3[montePar_50_25.txt])</f>
        <v>4.1611261999999989E-2</v>
      </c>
      <c r="I64">
        <f>AVERAGE([1]!x[montePar_50_25.txt])</f>
        <v>2.9066648E-2</v>
      </c>
      <c r="L64">
        <v>25</v>
      </c>
      <c r="M64" s="7">
        <f>STDEVPA([1]!x__8[monteSeq_50_25.txt])</f>
        <v>7.0169865305556939E-2</v>
      </c>
      <c r="N64" s="7">
        <f>STDEVPA([1]!x__8[montePar_50_25.txt])</f>
        <v>9.1835191272191856E-5</v>
      </c>
      <c r="O64">
        <f>STDEVPA([1]!x__5[montePar_50_25.txt])</f>
        <v>1.0841201564402371E-4</v>
      </c>
      <c r="P64">
        <f>_xlfn.STDEV.P([1]!x__3[montePar_50_25.txt])</f>
        <v>1.8036750138536656E-4</v>
      </c>
      <c r="Q64">
        <f>_xlfn.STDEV.P([1]!x[montePar_50_25.txt])</f>
        <v>3.6703590627621161E-4</v>
      </c>
      <c r="T64">
        <v>25</v>
      </c>
      <c r="U64" s="6">
        <f>M64/[1]!x__8[[#Totals],[monteSeq_50_25.txt]]</f>
        <v>7.1364761184448755E-3</v>
      </c>
      <c r="V64" s="6">
        <f>N64/[1]!x__8[[#Totals],[montePar_50_25.txt]]</f>
        <v>4.1488607913025433E-3</v>
      </c>
      <c r="W64" s="5">
        <f>O64/[1]!x__5[[#Totals],[montePar_50_25.txt]]</f>
        <v>4.9291650030619111E-3</v>
      </c>
      <c r="X64" s="5">
        <f>P64/[1]!x__3[[#Totals],[montePar_50_25.txt]]</f>
        <v>4.3345837813178224E-3</v>
      </c>
      <c r="Y64" s="5">
        <f>Q64/[1]!x[[#Totals],[montePar_50_25.txt]]</f>
        <v>1.2627390205991816E-2</v>
      </c>
      <c r="Z64" s="5"/>
      <c r="AB64">
        <v>25</v>
      </c>
      <c r="AC64" s="11">
        <f>($E64/F64)</f>
        <v>444.2081825204005</v>
      </c>
      <c r="AD64" s="11">
        <f>($E64/G64)</f>
        <v>447.05685989155563</v>
      </c>
      <c r="AE64" s="11">
        <f>($E64/H64)</f>
        <v>236.2957653146882</v>
      </c>
      <c r="AF64" s="11">
        <f>($E64/I64)</f>
        <v>338.27653604915162</v>
      </c>
    </row>
    <row r="65" spans="2:32" x14ac:dyDescent="0.25">
      <c r="B65" s="1"/>
      <c r="C65" s="1"/>
      <c r="D65">
        <v>26</v>
      </c>
      <c r="F65">
        <f>AVERAGE([1]!x__8[montePar_50_26.txt])</f>
        <v>4.3019254E-2</v>
      </c>
      <c r="G65">
        <f>AVERAGE([1]!x__5[montePar_50_26.txt])</f>
        <v>4.2925601999999986E-2</v>
      </c>
      <c r="H65">
        <f>SUBTOTAL(101,[1]!x__3[montePar_50_26.txt])</f>
        <v>6.2744039999999987E-2</v>
      </c>
      <c r="I65">
        <f>AVERAGE([1]!x[montePar_50_26.txt])</f>
        <v>5.1976598000000013E-2</v>
      </c>
      <c r="L65">
        <v>26</v>
      </c>
      <c r="N65" s="7">
        <f>STDEVPA([1]!x__8[montePar_50_26.txt])</f>
        <v>1.6282126913889374E-4</v>
      </c>
      <c r="O65">
        <f>STDEVPA([1]!x__5[montePar_50_26.txt])</f>
        <v>1.2136134885539152E-4</v>
      </c>
      <c r="P65">
        <f>_xlfn.STDEV.P([1]!x__3[montePar_50_26.txt])</f>
        <v>1.5593993587275748E-4</v>
      </c>
      <c r="Q65">
        <f>_xlfn.STDEV.P([1]!x[montePar_50_26.txt])</f>
        <v>3.8932733348173725E-4</v>
      </c>
      <c r="T65">
        <v>26</v>
      </c>
      <c r="V65" s="6">
        <f>N65/[1]!x__8[[#Totals],[montePar_50_26.txt]]</f>
        <v>3.7848464117693379E-3</v>
      </c>
      <c r="W65" s="5">
        <f>O65/[1]!x__5[[#Totals],[montePar_50_26.txt]]</f>
        <v>2.8272486162312076E-3</v>
      </c>
      <c r="X65" s="5">
        <f>P65/[1]!x__3[[#Totals],[montePar_50_26.txt]]</f>
        <v>2.4853346369273881E-3</v>
      </c>
      <c r="Y65" s="5">
        <f>Q65/[1]!x[[#Totals],[montePar_50_26.txt]]</f>
        <v>7.4904350893018655E-3</v>
      </c>
      <c r="Z65" s="5"/>
      <c r="AC65" s="5"/>
    </row>
    <row r="66" spans="2:32" x14ac:dyDescent="0.25">
      <c r="B66" s="1"/>
      <c r="C66" s="1"/>
      <c r="D66">
        <v>27</v>
      </c>
      <c r="F66">
        <f>AVERAGE([1]!x__8[montePar_50_27.txt])</f>
        <v>8.4762634000000017E-2</v>
      </c>
      <c r="G66">
        <f>AVERAGE([1]!x__5[montePar_50_27.txt])</f>
        <v>8.4651348000000001E-2</v>
      </c>
      <c r="H66">
        <f>SUBTOTAL(101,[1]!x__3[montePar_50_27.txt])</f>
        <v>0.10539098000000002</v>
      </c>
      <c r="I66">
        <f>AVERAGE([1]!x[montePar_50_27.txt])</f>
        <v>9.6732030000000011E-2</v>
      </c>
      <c r="L66">
        <v>27</v>
      </c>
      <c r="N66" s="7">
        <f>STDEVPA([1]!x__8[montePar_50_27.txt])</f>
        <v>8.9508032287610639E-5</v>
      </c>
      <c r="O66">
        <f>STDEVPA([1]!x__5[montePar_50_27.txt])</f>
        <v>8.9140559208477325E-5</v>
      </c>
      <c r="P66">
        <f>_xlfn.STDEV.P([1]!x__3[montePar_50_27.txt])</f>
        <v>1.360363907195429E-4</v>
      </c>
      <c r="Q66">
        <f>_xlfn.STDEV.P([1]!x[montePar_50_27.txt])</f>
        <v>2.3330873386995067E-4</v>
      </c>
      <c r="T66">
        <v>27</v>
      </c>
      <c r="V66" s="6">
        <f>N66/[1]!x__8[[#Totals],[montePar_50_27.txt]]</f>
        <v>1.0559845543215494E-3</v>
      </c>
      <c r="W66" s="5">
        <f>O66/[1]!x__5[[#Totals],[montePar_50_27.txt]]</f>
        <v>1.0530317746207339E-3</v>
      </c>
      <c r="X66" s="5">
        <f>P66/[1]!x__3[[#Totals],[montePar_50_27.txt]]</f>
        <v>1.2907783068298907E-3</v>
      </c>
      <c r="Y66" s="5">
        <f>Q66/[1]!x[[#Totals],[montePar_50_27.txt]]</f>
        <v>2.4119077607484374E-3</v>
      </c>
      <c r="Z66" s="5"/>
      <c r="AC66" s="5"/>
    </row>
    <row r="67" spans="2:32" x14ac:dyDescent="0.25">
      <c r="B67" s="1"/>
      <c r="C67" s="1"/>
      <c r="D67">
        <v>28</v>
      </c>
      <c r="F67">
        <f>AVERAGE([1]!x__8[montePar_50_28.txt])</f>
        <v>0.16868465999999999</v>
      </c>
      <c r="G67">
        <f>AVERAGE([1]!x__5[montePar_50_28.txt])</f>
        <v>0.16872363999999995</v>
      </c>
      <c r="H67">
        <f>SUBTOTAL(101,[1]!x__3[montePar_50_28.txt])</f>
        <v>0.19240650000000004</v>
      </c>
      <c r="I67">
        <f>AVERAGE([1]!x[montePar_50_28.txt])</f>
        <v>0.18729604</v>
      </c>
      <c r="L67">
        <v>28</v>
      </c>
      <c r="N67" s="7">
        <f>STDEVPA([1]!x__8[montePar_50_28.txt])</f>
        <v>5.5075564854116608E-4</v>
      </c>
      <c r="O67">
        <f>STDEVPA([1]!x__5[montePar_50_28.txt])</f>
        <v>4.7137792735765663E-4</v>
      </c>
      <c r="P67">
        <f>_xlfn.STDEV.P([1]!x__3[montePar_50_28.txt])</f>
        <v>1.1998820983746697E-3</v>
      </c>
      <c r="Q67">
        <f>_xlfn.STDEV.P([1]!x[montePar_50_28.txt])</f>
        <v>2.559839807487957E-4</v>
      </c>
      <c r="T67">
        <v>28</v>
      </c>
      <c r="V67" s="6">
        <f>N67/[1]!x__8[[#Totals],[montePar_50_28.txt]]</f>
        <v>3.2650013850765453E-3</v>
      </c>
      <c r="W67" s="5">
        <f>O67/[1]!x__5[[#Totals],[montePar_50_28.txt]]</f>
        <v>2.7937870908762803E-3</v>
      </c>
      <c r="X67" s="5">
        <f>P67/[1]!x__3[[#Totals],[montePar_50_28.txt]]</f>
        <v>6.2361827608457586E-3</v>
      </c>
      <c r="Y67" s="5">
        <f>Q67/[1]!x[[#Totals],[montePar_50_28.txt]]</f>
        <v>1.3667346130158209E-3</v>
      </c>
      <c r="Z67" s="5"/>
      <c r="AC67" s="5"/>
    </row>
    <row r="68" spans="2:32" x14ac:dyDescent="0.25">
      <c r="B68" s="1"/>
      <c r="C68" s="1"/>
      <c r="D68">
        <v>29</v>
      </c>
      <c r="F68">
        <f>AVERAGE([1]!x__8[montePar_50_29.txt])</f>
        <v>0.33816892000000004</v>
      </c>
      <c r="G68">
        <f>AVERAGE([1]!x__5[montePar_50_29.txt])</f>
        <v>0.33681940000000005</v>
      </c>
      <c r="H68">
        <f>SUBTOTAL(101,[1]!x__3[montePar_50_29.txt])</f>
        <v>0.36610278000000002</v>
      </c>
      <c r="I68">
        <f>AVERAGE([1]!x[montePar_50_29.txt])</f>
        <v>0.36998641999999998</v>
      </c>
      <c r="L68">
        <v>29</v>
      </c>
      <c r="N68" s="7">
        <f>STDEVPA([1]!x__8[montePar_50_29.txt])</f>
        <v>8.480068829909359E-4</v>
      </c>
      <c r="O68">
        <f>STDEVPA([1]!x__5[montePar_50_29.txt])</f>
        <v>8.9154472686456417E-5</v>
      </c>
      <c r="P68">
        <f>_xlfn.STDEV.P([1]!x__3[montePar_50_29.txt])</f>
        <v>1.0427910433064042E-4</v>
      </c>
      <c r="Q68">
        <f>_xlfn.STDEV.P([1]!x[montePar_50_29.txt])</f>
        <v>8.2782090067839975E-4</v>
      </c>
      <c r="T68">
        <v>29</v>
      </c>
      <c r="V68" s="6">
        <f>N68/[1]!x__8[[#Totals],[montePar_50_29.txt]]</f>
        <v>2.5076428756106144E-3</v>
      </c>
      <c r="W68" s="5">
        <f>O68/[1]!x__5[[#Totals],[montePar_50_29.txt]]</f>
        <v>2.6469518289758966E-4</v>
      </c>
      <c r="X68" s="5">
        <f>P68/[1]!x__3[[#Totals],[montePar_50_29.txt]]</f>
        <v>2.8483559816355508E-4</v>
      </c>
      <c r="Y68" s="5">
        <f>Q68/[1]!x[[#Totals],[montePar_50_29.txt]]</f>
        <v>2.2374359055621551E-3</v>
      </c>
      <c r="Z68" s="5"/>
      <c r="AC68" s="5"/>
    </row>
    <row r="69" spans="2:32" x14ac:dyDescent="0.25">
      <c r="B69" s="1"/>
      <c r="C69" s="1"/>
      <c r="D69">
        <v>30</v>
      </c>
      <c r="F69">
        <f>AVERAGE([1]!x__8[montePar_50_30.txt])</f>
        <v>0.67526457999999989</v>
      </c>
      <c r="G69">
        <f>AVERAGE([1]!x__5[montePar_50_30.txt])</f>
        <v>0.68231224000000001</v>
      </c>
      <c r="H69">
        <f>SUBTOTAL(101,[1]!x__3[montePar_50_30.txt])</f>
        <v>0.71263159999999981</v>
      </c>
      <c r="I69">
        <f>AVERAGE([1]!x[montePar_50_30.txt])</f>
        <v>0.73300909999999986</v>
      </c>
      <c r="L69">
        <v>30</v>
      </c>
      <c r="N69" s="7">
        <f>STDEVPA([1]!x__8[montePar_50_30.txt])</f>
        <v>1.1554758154110813E-4</v>
      </c>
      <c r="O69">
        <f>STDEVPA([1]!x__5[montePar_50_30.txt])</f>
        <v>1.2346425555601276E-4</v>
      </c>
      <c r="P69">
        <f>_xlfn.STDEV.P([1]!x__3[montePar_50_30.txt])</f>
        <v>1.3857748734912934E-4</v>
      </c>
      <c r="Q69">
        <f>_xlfn.STDEV.P([1]!x[montePar_50_30.txt])</f>
        <v>2.830944895260291E-4</v>
      </c>
      <c r="T69">
        <v>30</v>
      </c>
      <c r="V69" s="6">
        <f>N69/[1]!x__8[[#Totals],[montePar_50_30.txt]]</f>
        <v>1.7111453045724409E-4</v>
      </c>
      <c r="W69" s="5">
        <f>O69/[1]!x__5[[#Totals],[montePar_50_30.txt]]</f>
        <v>1.8094978855430287E-4</v>
      </c>
      <c r="X69" s="5">
        <f>P69/[1]!x__3[[#Totals],[montePar_50_30.txt]]</f>
        <v>1.9445880220457439E-4</v>
      </c>
      <c r="Y69" s="5">
        <f>Q69/[1]!x[[#Totals],[montePar_50_30.txt]]</f>
        <v>3.8620869717173926E-4</v>
      </c>
      <c r="Z69" s="5"/>
      <c r="AC69" s="5"/>
    </row>
    <row r="70" spans="2:32" x14ac:dyDescent="0.25">
      <c r="B70" s="1"/>
      <c r="C70" s="1"/>
    </row>
    <row r="73" spans="2:32" x14ac:dyDescent="0.25">
      <c r="B73" s="3"/>
      <c r="C73" s="3"/>
    </row>
    <row r="74" spans="2:32" x14ac:dyDescent="0.25">
      <c r="B74" s="3"/>
      <c r="C74" s="3"/>
    </row>
    <row r="75" spans="2:32" x14ac:dyDescent="0.25">
      <c r="B75" s="3"/>
      <c r="C75" s="3"/>
    </row>
    <row r="76" spans="2:32" x14ac:dyDescent="0.25">
      <c r="B76" s="3"/>
      <c r="C76" s="3"/>
      <c r="E76" t="s">
        <v>1</v>
      </c>
      <c r="F76" t="s">
        <v>1</v>
      </c>
      <c r="G76" t="s">
        <v>1</v>
      </c>
      <c r="H76" t="s">
        <v>1</v>
      </c>
      <c r="I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AC76" t="s">
        <v>1</v>
      </c>
      <c r="AD76" t="s">
        <v>1</v>
      </c>
      <c r="AE76" t="s">
        <v>1</v>
      </c>
      <c r="AF76" t="s">
        <v>1</v>
      </c>
    </row>
    <row r="77" spans="2:32" x14ac:dyDescent="0.25">
      <c r="B77" s="3"/>
      <c r="C77" s="3"/>
      <c r="E77" s="8" t="s">
        <v>2</v>
      </c>
      <c r="F77" s="8" t="s">
        <v>7</v>
      </c>
      <c r="G77" s="8" t="s">
        <v>8</v>
      </c>
      <c r="H77" s="8" t="s">
        <v>9</v>
      </c>
      <c r="I77" s="9">
        <v>100512</v>
      </c>
      <c r="J77" s="8"/>
      <c r="M77" s="8" t="s">
        <v>2</v>
      </c>
      <c r="N77" s="8" t="s">
        <v>7</v>
      </c>
      <c r="O77" s="8" t="s">
        <v>8</v>
      </c>
      <c r="P77" s="8" t="s">
        <v>9</v>
      </c>
      <c r="Q77" s="9">
        <v>100512</v>
      </c>
      <c r="R77" s="8"/>
      <c r="U77" s="8" t="s">
        <v>2</v>
      </c>
      <c r="V77" s="8" t="s">
        <v>7</v>
      </c>
      <c r="W77" s="8" t="s">
        <v>8</v>
      </c>
      <c r="X77" s="8" t="s">
        <v>9</v>
      </c>
      <c r="Y77" s="9">
        <v>100512</v>
      </c>
      <c r="Z77" s="8"/>
      <c r="AC77" s="8" t="s">
        <v>7</v>
      </c>
      <c r="AD77" s="8" t="s">
        <v>8</v>
      </c>
      <c r="AE77" s="8" t="s">
        <v>9</v>
      </c>
      <c r="AF77" s="9">
        <v>100512</v>
      </c>
    </row>
    <row r="78" spans="2:32" x14ac:dyDescent="0.25">
      <c r="B78" s="1" t="s">
        <v>10</v>
      </c>
      <c r="C78" s="1"/>
      <c r="D78">
        <v>15</v>
      </c>
      <c r="E78">
        <f>AVERAGE([1]!x__9[monteSeq_50_15.txt])</f>
        <v>1.1112542000000001E-2</v>
      </c>
      <c r="F78">
        <f>AVERAGE([1]!x__9[montePar_50_15.txt])</f>
        <v>1.520668E-3</v>
      </c>
      <c r="G78">
        <f>AVERAGE([1]!x__6[montePar_50_15.txt])</f>
        <v>1.2467120000000003E-3</v>
      </c>
      <c r="H78">
        <f>AVERAGE([1]!x__4[montePar_50_15.txt])</f>
        <v>2.5263711999999994E-2</v>
      </c>
      <c r="I78">
        <f>SUBTOTAL(101,[1]!x__2[montePar_50_15.txt])</f>
        <v>9.7073499999999983E-3</v>
      </c>
      <c r="L78">
        <v>15</v>
      </c>
      <c r="M78">
        <f>_xlfn.STDEV.S([1]!x__9[monteSeq_50_15.txt])</f>
        <v>1.9617395039159759E-4</v>
      </c>
      <c r="N78">
        <f>_xlfn.STDEV.S([1]!x__9[montePar_50_15.txt])</f>
        <v>7.2424573612969278E-4</v>
      </c>
      <c r="O78">
        <f>STDEVPA([1]!x__6[montePar_50_15.txt])</f>
        <v>7.3791562976806507E-4</v>
      </c>
      <c r="P78">
        <f>_xlfn.STDEV.P([1]!x__4[montePar_50_15.txt])</f>
        <v>1.2436037722104258E-3</v>
      </c>
      <c r="Q78">
        <f>_xlfn.STDEV.P([1]!x__2[montePar_50_15.txt])</f>
        <v>9.013753449590245E-4</v>
      </c>
      <c r="T78">
        <v>15</v>
      </c>
      <c r="U78" s="6">
        <f>M78/[1]!x__9[[#Totals],[monteSeq_50_15.txt]]</f>
        <v>1.7653382132692734E-2</v>
      </c>
      <c r="V78" s="6">
        <f>N78/[1]!x__9[[#Totals],[montePar_50_15.txt]]</f>
        <v>0.4762681506612178</v>
      </c>
      <c r="W78" s="6">
        <f>O78/[1]!x__6[[#Totals],[montePar_50_15.txt]]</f>
        <v>0.5918894097177736</v>
      </c>
      <c r="X78" s="5">
        <f>P78/[1]!x__4[[#Totals],[montePar_50_15.txt]]</f>
        <v>4.9224902983790592E-2</v>
      </c>
      <c r="Y78" s="5">
        <f>Q78/[1]!x__2[[#Totals],[montePar_50_15.txt]]</f>
        <v>9.285493414361537E-2</v>
      </c>
      <c r="Z78" s="6"/>
      <c r="AB78">
        <v>15</v>
      </c>
      <c r="AC78" s="11">
        <f>($E78/F78)</f>
        <v>7.3076713654788561</v>
      </c>
      <c r="AD78" s="11">
        <f>($E78/G78)</f>
        <v>8.913479616783988</v>
      </c>
      <c r="AE78" s="11">
        <f>($E78/H78)</f>
        <v>0.43986180653104356</v>
      </c>
      <c r="AF78" s="11">
        <f>($E78/I78)</f>
        <v>1.1447554687942645</v>
      </c>
    </row>
    <row r="79" spans="2:32" x14ac:dyDescent="0.25">
      <c r="B79" s="1"/>
      <c r="C79" s="1"/>
      <c r="D79">
        <v>16</v>
      </c>
      <c r="E79">
        <f>AVERAGE([1]!x__9[monteSeq_50_16.txt])</f>
        <v>2.2924622000000002E-2</v>
      </c>
      <c r="F79">
        <f>AVERAGE([1]!x__9[montePar_50_16.txt])</f>
        <v>1.43589E-3</v>
      </c>
      <c r="G79">
        <f>AVERAGE([1]!x__6[montePar_50_16.txt])</f>
        <v>1.2283320000000002E-3</v>
      </c>
      <c r="H79">
        <f>AVERAGE([1]!x__4[montePar_50_16.txt])</f>
        <v>2.4951186000000014E-2</v>
      </c>
      <c r="I79">
        <f>SUBTOTAL(101,[1]!x__2[montePar_50_16.txt])</f>
        <v>9.1796240000000008E-3</v>
      </c>
      <c r="L79">
        <v>16</v>
      </c>
      <c r="M79">
        <f>_xlfn.STDEV.S([1]!x__9[monteSeq_50_16.txt])</f>
        <v>1.0744673439335379E-3</v>
      </c>
      <c r="N79">
        <f>_xlfn.STDEV.S([1]!x__9[montePar_50_16.txt])</f>
        <v>7.8747100367737542E-5</v>
      </c>
      <c r="O79">
        <f>STDEVPA([1]!x__6[montePar_50_16.txt])</f>
        <v>1.2581111308624529E-4</v>
      </c>
      <c r="P79">
        <f>_xlfn.STDEV.P([1]!x__4[montePar_50_16.txt])</f>
        <v>6.3750121788432685E-4</v>
      </c>
      <c r="Q79">
        <f>_xlfn.STDEV.P([1]!x__2[montePar_50_16.txt])</f>
        <v>1.6750340958917825E-4</v>
      </c>
      <c r="T79">
        <v>16</v>
      </c>
      <c r="U79" s="6">
        <f>M79/[1]!x__9[[#Totals],[monteSeq_50_16.txt]]</f>
        <v>4.6869577344984696E-2</v>
      </c>
      <c r="V79" s="6">
        <f>N79/[1]!x__9[[#Totals],[montePar_50_16.txt]]</f>
        <v>5.4842014616535768E-2</v>
      </c>
      <c r="W79" s="6">
        <f>O79/[1]!x__6[[#Totals],[montePar_50_16.txt]]</f>
        <v>0.10242435521198281</v>
      </c>
      <c r="X79" s="5">
        <f>P79/[1]!x__4[[#Totals],[montePar_50_16.txt]]</f>
        <v>2.5549936499384297E-2</v>
      </c>
      <c r="Y79" s="5">
        <f>Q79/[1]!x__2[[#Totals],[montePar_50_16.txt]]</f>
        <v>1.8247306162995153E-2</v>
      </c>
      <c r="Z79" s="6"/>
      <c r="AB79">
        <v>16</v>
      </c>
      <c r="AC79" s="11">
        <f>($E79/F79)</f>
        <v>15.965444428194361</v>
      </c>
      <c r="AD79" s="11">
        <f>($E79/G79)</f>
        <v>18.66321320294513</v>
      </c>
      <c r="AE79" s="11">
        <f>($E79/H79)</f>
        <v>0.91877885083298205</v>
      </c>
      <c r="AF79" s="11">
        <f>($E79/I79)</f>
        <v>2.4973377994567096</v>
      </c>
    </row>
    <row r="80" spans="2:32" x14ac:dyDescent="0.25">
      <c r="B80" s="1"/>
      <c r="C80" s="1"/>
      <c r="D80">
        <v>17</v>
      </c>
      <c r="E80">
        <f>AVERAGE([1]!x__9[monteSeq_50_17.txt])</f>
        <v>4.5119554000000006E-2</v>
      </c>
      <c r="F80">
        <f>AVERAGE([1]!x__9[montePar_50_17.txt])</f>
        <v>1.5952340000000001E-3</v>
      </c>
      <c r="G80">
        <f>AVERAGE([1]!x__6[montePar_50_17.txt])</f>
        <v>1.6384300000000004E-3</v>
      </c>
      <c r="H80">
        <f>AVERAGE([1]!x__4[montePar_50_17.txt])</f>
        <v>2.4854267999999999E-2</v>
      </c>
      <c r="I80">
        <f>SUBTOTAL(101,[1]!x__2[montePar_50_17.txt])</f>
        <v>9.2385620000000005E-3</v>
      </c>
      <c r="L80">
        <v>17</v>
      </c>
      <c r="M80">
        <f>_xlfn.STDEV.S([1]!x__9[monteSeq_50_17.txt])</f>
        <v>1.2482041938214556E-3</v>
      </c>
      <c r="N80">
        <f>_xlfn.STDEV.S([1]!x__9[montePar_50_17.txt])</f>
        <v>8.960489374846371E-5</v>
      </c>
      <c r="O80">
        <f>STDEVPA([1]!x__6[montePar_50_17.txt])</f>
        <v>2.2860980665754478E-4</v>
      </c>
      <c r="P80">
        <f>_xlfn.STDEV.P([1]!x__4[montePar_50_17.txt])</f>
        <v>2.1696339547490481E-4</v>
      </c>
      <c r="Q80">
        <f>_xlfn.STDEV.P([1]!x__2[montePar_50_17.txt])</f>
        <v>1.7717398103559112E-4</v>
      </c>
      <c r="T80">
        <v>17</v>
      </c>
      <c r="U80" s="6">
        <f>M80/[1]!x__9[[#Totals],[monteSeq_50_17.txt]]</f>
        <v>2.7664373495834099E-2</v>
      </c>
      <c r="V80" s="6">
        <f>N80/[1]!x__9[[#Totals],[montePar_50_17.txt]]</f>
        <v>5.6170376100599474E-2</v>
      </c>
      <c r="W80" s="6">
        <f>O80/[1]!x__6[[#Totals],[montePar_50_17.txt]]</f>
        <v>0.13952979782935171</v>
      </c>
      <c r="X80" s="5">
        <f>P80/[1]!x__4[[#Totals],[montePar_50_17.txt]]</f>
        <v>8.7294220644480378E-3</v>
      </c>
      <c r="Y80" s="5">
        <f>Q80/[1]!x__2[[#Totals],[montePar_50_17.txt]]</f>
        <v>1.9177657847140185E-2</v>
      </c>
      <c r="Z80" s="6"/>
      <c r="AB80">
        <v>17</v>
      </c>
      <c r="AC80" s="11">
        <f>($E80/F80)</f>
        <v>28.283972131988161</v>
      </c>
      <c r="AD80" s="11">
        <f>($E80/G80)</f>
        <v>27.538286042125691</v>
      </c>
      <c r="AE80" s="11">
        <f>($E80/H80)</f>
        <v>1.8153644275502303</v>
      </c>
      <c r="AF80" s="11">
        <f>($E80/I80)</f>
        <v>4.8838286737697931</v>
      </c>
    </row>
    <row r="81" spans="2:32" x14ac:dyDescent="0.25">
      <c r="B81" s="1"/>
      <c r="C81" s="1"/>
      <c r="D81">
        <v>18</v>
      </c>
      <c r="E81">
        <f>AVERAGE([1]!x__9[monteSeq_50_18.txt])</f>
        <v>8.925664400000001E-2</v>
      </c>
      <c r="F81">
        <f>AVERAGE([1]!x__9[montePar_50_18.txt])</f>
        <v>2.1851879999999994E-3</v>
      </c>
      <c r="G81">
        <f>AVERAGE([1]!x__6[montePar_50_18.txt])</f>
        <v>2.0628660000000009E-3</v>
      </c>
      <c r="H81">
        <f>AVERAGE([1]!x__4[montePar_50_18.txt])</f>
        <v>2.4855031999999996E-2</v>
      </c>
      <c r="I81">
        <f>SUBTOTAL(101,[1]!x__2[montePar_50_18.txt])</f>
        <v>9.3521720000000006E-3</v>
      </c>
      <c r="L81">
        <v>18</v>
      </c>
      <c r="M81">
        <f>_xlfn.STDEV.S([1]!x__9[monteSeq_50_18.txt])</f>
        <v>2.4786610599816564E-3</v>
      </c>
      <c r="N81">
        <f>_xlfn.STDEV.S([1]!x__9[montePar_50_18.txt])</f>
        <v>7.338546717052861E-5</v>
      </c>
      <c r="O81">
        <f>STDEVPA([1]!x__6[montePar_50_18.txt])</f>
        <v>8.9613464635622685E-5</v>
      </c>
      <c r="P81">
        <f>_xlfn.STDEV.P([1]!x__4[montePar_50_18.txt])</f>
        <v>2.3221892983992491E-4</v>
      </c>
      <c r="Q81">
        <f>_xlfn.STDEV.P([1]!x__2[montePar_50_18.txt])</f>
        <v>1.0443482568568786E-4</v>
      </c>
      <c r="T81">
        <v>18</v>
      </c>
      <c r="U81" s="6">
        <f>M81/[1]!x__9[[#Totals],[monteSeq_50_18.txt]]</f>
        <v>2.7770045443134252E-2</v>
      </c>
      <c r="V81" s="6">
        <f>N81/[1]!x__9[[#Totals],[montePar_50_18.txt]]</f>
        <v>3.3583136631964224E-2</v>
      </c>
      <c r="W81" s="6">
        <f>O81/[1]!x__6[[#Totals],[montePar_50_18.txt]]</f>
        <v>4.3441243704449364E-2</v>
      </c>
      <c r="X81" s="5">
        <f>P81/[1]!x__4[[#Totals],[montePar_50_18.txt]]</f>
        <v>9.3429342533103543E-3</v>
      </c>
      <c r="Y81" s="5">
        <f>Q81/[1]!x__2[[#Totals],[montePar_50_18.txt]]</f>
        <v>1.1166906007041771E-2</v>
      </c>
      <c r="Z81" s="6"/>
      <c r="AB81">
        <v>18</v>
      </c>
      <c r="AC81" s="11">
        <f>($E81/F81)</f>
        <v>40.846208198104712</v>
      </c>
      <c r="AD81" s="11">
        <f>($E81/G81)</f>
        <v>43.268270454794433</v>
      </c>
      <c r="AE81" s="11">
        <f>($E81/H81)</f>
        <v>3.5910894824034032</v>
      </c>
      <c r="AF81" s="11">
        <f>($E81/I81)</f>
        <v>9.5439480796546512</v>
      </c>
    </row>
    <row r="82" spans="2:32" x14ac:dyDescent="0.25">
      <c r="B82" s="1"/>
      <c r="C82" s="1"/>
      <c r="D82">
        <v>19</v>
      </c>
      <c r="E82">
        <f>AVERAGE([1]!x__9[monteSeq_50_19.txt])</f>
        <v>0.17714909999999995</v>
      </c>
      <c r="F82">
        <f>AVERAGE([1]!x__9[montePar_50_19.txt])</f>
        <v>3.2472679999999998E-3</v>
      </c>
      <c r="G82">
        <f>AVERAGE([1]!x__6[montePar_50_19.txt])</f>
        <v>3.1136380000000006E-3</v>
      </c>
      <c r="H82">
        <f>AVERAGE([1]!x__4[montePar_50_19.txt])</f>
        <v>2.5042841999999996E-2</v>
      </c>
      <c r="I82">
        <f>SUBTOTAL(101,[1]!x__2[montePar_50_19.txt])</f>
        <v>9.826698E-3</v>
      </c>
      <c r="L82">
        <v>19</v>
      </c>
      <c r="M82">
        <f>_xlfn.STDEV.S([1]!x__9[monteSeq_50_19.txt])</f>
        <v>4.8697206442527311E-3</v>
      </c>
      <c r="N82">
        <f>_xlfn.STDEV.S([1]!x__9[montePar_50_19.txt])</f>
        <v>1.0440914503695033E-4</v>
      </c>
      <c r="O82">
        <f>STDEVPA([1]!x__6[montePar_50_19.txt])</f>
        <v>1.077695799193817E-4</v>
      </c>
      <c r="P82">
        <f>_xlfn.STDEV.P([1]!x__4[montePar_50_19.txt])</f>
        <v>2.1876581185368088E-4</v>
      </c>
      <c r="Q82">
        <f>_xlfn.STDEV.P([1]!x__2[montePar_50_19.txt])</f>
        <v>1.5824195460117398E-4</v>
      </c>
      <c r="T82">
        <v>19</v>
      </c>
      <c r="U82" s="6">
        <f>M82/[1]!x__9[[#Totals],[monteSeq_50_19.txt]]</f>
        <v>2.7489389696322097E-2</v>
      </c>
      <c r="V82" s="6">
        <f>N82/[1]!x__9[[#Totals],[montePar_50_19.txt]]</f>
        <v>3.2152919018987758E-2</v>
      </c>
      <c r="W82" s="6">
        <f>O82/[1]!x__6[[#Totals],[montePar_50_19.txt]]</f>
        <v>3.4612109667013856E-2</v>
      </c>
      <c r="X82" s="5">
        <f>P82/[1]!x__4[[#Totals],[montePar_50_19.txt]]</f>
        <v>8.7356623443010546E-3</v>
      </c>
      <c r="Y82" s="5">
        <f>Q82/[1]!x__2[[#Totals],[montePar_50_19.txt]]</f>
        <v>1.6103268320770005E-2</v>
      </c>
      <c r="Z82" s="6"/>
      <c r="AB82">
        <v>19</v>
      </c>
      <c r="AC82" s="11">
        <f>($E82/F82)</f>
        <v>54.553273705773577</v>
      </c>
      <c r="AD82" s="11">
        <f>($E82/G82)</f>
        <v>56.894571559057255</v>
      </c>
      <c r="AE82" s="11">
        <f>($E82/H82)</f>
        <v>7.0738416989573301</v>
      </c>
      <c r="AF82" s="11">
        <f>($E82/I82)</f>
        <v>18.027327185591737</v>
      </c>
    </row>
    <row r="83" spans="2:32" x14ac:dyDescent="0.25">
      <c r="B83" s="1"/>
      <c r="C83" s="1"/>
      <c r="D83">
        <v>20</v>
      </c>
      <c r="E83">
        <f>AVERAGE([1]!x__9[monteSeq_50_20.txt])</f>
        <v>0.35168701999999996</v>
      </c>
      <c r="F83">
        <f>AVERAGE([1]!x__9[montePar_50_20.txt])</f>
        <v>5.3157100000000004E-3</v>
      </c>
      <c r="G83">
        <f>AVERAGE([1]!x__6[montePar_50_20.txt])</f>
        <v>5.1637900000000006E-3</v>
      </c>
      <c r="H83">
        <f>AVERAGE([1]!x__4[montePar_50_20.txt])</f>
        <v>2.5769552000000005E-2</v>
      </c>
      <c r="I83">
        <f>SUBTOTAL(101,[1]!x__2[montePar_50_20.txt])</f>
        <v>1.1586144E-2</v>
      </c>
      <c r="L83">
        <v>20</v>
      </c>
      <c r="M83">
        <f>_xlfn.STDEV.S([1]!x__9[monteSeq_50_20.txt])</f>
        <v>6.9250335370587036E-3</v>
      </c>
      <c r="N83">
        <f>_xlfn.STDEV.S([1]!x__9[montePar_50_20.txt])</f>
        <v>1.42766816086618E-4</v>
      </c>
      <c r="O83">
        <f>STDEVPA([1]!x__6[montePar_50_20.txt])</f>
        <v>8.4161654570237608E-5</v>
      </c>
      <c r="P83">
        <f>_xlfn.STDEV.P([1]!x__4[montePar_50_20.txt])</f>
        <v>1.3633378780038318E-4</v>
      </c>
      <c r="Q83">
        <f>_xlfn.STDEV.P([1]!x__2[montePar_50_20.txt])</f>
        <v>1.3063542576192716E-4</v>
      </c>
      <c r="T83">
        <v>20</v>
      </c>
      <c r="U83" s="6">
        <f>M83/[1]!x__9[[#Totals],[monteSeq_50_20.txt]]</f>
        <v>1.9690898848239279E-2</v>
      </c>
      <c r="V83" s="6">
        <f>N83/[1]!x__9[[#Totals],[montePar_50_20.txt]]</f>
        <v>2.6857525351574481E-2</v>
      </c>
      <c r="W83" s="6">
        <f>O83/[1]!x__6[[#Totals],[montePar_50_20.txt]]</f>
        <v>1.6298427041037223E-2</v>
      </c>
      <c r="X83" s="5">
        <f>P83/[1]!x__4[[#Totals],[montePar_50_20.txt]]</f>
        <v>5.2904989500936282E-3</v>
      </c>
      <c r="Y83" s="5">
        <f>Q83/[1]!x__2[[#Totals],[montePar_50_20.txt]]</f>
        <v>1.1275142598083295E-2</v>
      </c>
      <c r="Z83" s="6"/>
      <c r="AB83">
        <v>20</v>
      </c>
      <c r="AC83" s="11">
        <f>($E83/F83)</f>
        <v>66.159933480193601</v>
      </c>
      <c r="AD83" s="11">
        <f>($E83/G83)</f>
        <v>68.106375356085337</v>
      </c>
      <c r="AE83" s="11">
        <f>($E83/H83)</f>
        <v>13.647385876168896</v>
      </c>
      <c r="AF83" s="11">
        <f>($E83/I83)</f>
        <v>30.354104005612218</v>
      </c>
    </row>
    <row r="84" spans="2:32" x14ac:dyDescent="0.25">
      <c r="B84" s="1"/>
      <c r="C84" s="1"/>
      <c r="D84">
        <v>21</v>
      </c>
      <c r="E84">
        <f>AVERAGE([1]!x__9[monteSeq_50_21.txt])</f>
        <v>0.70468251999999998</v>
      </c>
      <c r="F84">
        <f>AVERAGE([1]!x__9[montePar_50_21.txt])</f>
        <v>9.3181060000000013E-3</v>
      </c>
      <c r="G84">
        <f>AVERAGE([1]!x__6[montePar_50_21.txt])</f>
        <v>9.1751639999999995E-3</v>
      </c>
      <c r="H84">
        <f>AVERAGE([1]!x__4[montePar_50_21.txt])</f>
        <v>2.9123518000000004E-2</v>
      </c>
      <c r="I84">
        <f>SUBTOTAL(101,[1]!x__2[montePar_50_21.txt])</f>
        <v>1.5552710000000008E-2</v>
      </c>
      <c r="L84">
        <v>21</v>
      </c>
      <c r="M84">
        <f>_xlfn.STDEV.S([1]!x__9[monteSeq_50_21.txt])</f>
        <v>1.535027153816863E-2</v>
      </c>
      <c r="N84">
        <f>_xlfn.STDEV.S([1]!x__9[montePar_50_21.txt])</f>
        <v>1.2024499719747344E-4</v>
      </c>
      <c r="O84">
        <f>STDEVPA([1]!x__6[montePar_50_21.txt])</f>
        <v>1.1902317045012701E-4</v>
      </c>
      <c r="P84">
        <f>_xlfn.STDEV.P([1]!x__4[montePar_50_21.txt])</f>
        <v>1.8497511907280943E-4</v>
      </c>
      <c r="Q84">
        <f>_xlfn.STDEV.P([1]!x__2[montePar_50_21.txt])</f>
        <v>1.6009543809865421E-4</v>
      </c>
      <c r="T84">
        <v>21</v>
      </c>
      <c r="U84" s="6">
        <f>M84/[1]!x__9[[#Totals],[monteSeq_50_21.txt]]</f>
        <v>2.1783244372470926E-2</v>
      </c>
      <c r="V84" s="6">
        <f>N84/[1]!x__9[[#Totals],[montePar_50_21.txt]]</f>
        <v>1.290444616078347E-2</v>
      </c>
      <c r="W84" s="6">
        <f>O84/[1]!x__6[[#Totals],[montePar_50_21.txt]]</f>
        <v>1.2972320761800772E-2</v>
      </c>
      <c r="X84" s="5">
        <f>P84/[1]!x__4[[#Totals],[montePar_50_21.txt]]</f>
        <v>6.3514002351230166E-3</v>
      </c>
      <c r="Y84" s="5">
        <f>Q84/[1]!x__2[[#Totals],[montePar_50_21.txt]]</f>
        <v>1.0293732609857326E-2</v>
      </c>
      <c r="Z84" s="6"/>
      <c r="AB84">
        <v>21</v>
      </c>
      <c r="AC84" s="11">
        <f>($E84/F84)</f>
        <v>75.625080890902069</v>
      </c>
      <c r="AD84" s="11">
        <f>($E84/G84)</f>
        <v>76.803261500284904</v>
      </c>
      <c r="AE84" s="11">
        <f>($E84/H84)</f>
        <v>24.196339192263789</v>
      </c>
      <c r="AF84" s="11">
        <f>($E84/I84)</f>
        <v>45.309307509752294</v>
      </c>
    </row>
    <row r="85" spans="2:32" x14ac:dyDescent="0.25">
      <c r="B85" s="1"/>
      <c r="C85" s="1"/>
      <c r="D85">
        <v>22</v>
      </c>
      <c r="E85">
        <f>AVERAGE([1]!x__9[monteSeq_50_22.txt])</f>
        <v>1.4172894000000003</v>
      </c>
      <c r="F85">
        <f>AVERAGE([1]!x__9[montePar_50_22.txt])</f>
        <v>1.7293155999999994E-2</v>
      </c>
      <c r="G85">
        <f>AVERAGE([1]!x__6[montePar_50_22.txt])</f>
        <v>1.7248427999999996E-2</v>
      </c>
      <c r="H85">
        <f>AVERAGE([1]!x__4[montePar_50_22.txt])</f>
        <v>3.6519851999999992E-2</v>
      </c>
      <c r="I85">
        <f>SUBTOTAL(101,[1]!x__2[montePar_50_22.txt])</f>
        <v>2.4153029999999992E-2</v>
      </c>
      <c r="L85">
        <v>22</v>
      </c>
      <c r="M85">
        <f>_xlfn.STDEV.S([1]!x__9[monteSeq_50_22.txt])</f>
        <v>2.6359946843494127E-2</v>
      </c>
      <c r="N85">
        <f>_xlfn.STDEV.S([1]!x__9[montePar_50_22.txt])</f>
        <v>1.4611089464750354E-4</v>
      </c>
      <c r="O85">
        <f>STDEVPA([1]!x__6[montePar_50_22.txt])</f>
        <v>1.323277598087417E-4</v>
      </c>
      <c r="P85">
        <f>_xlfn.STDEV.P([1]!x__4[montePar_50_22.txt])</f>
        <v>2.3058381837414387E-4</v>
      </c>
      <c r="Q85">
        <f>_xlfn.STDEV.P([1]!x__2[montePar_50_22.txt])</f>
        <v>1.7337896902450427E-4</v>
      </c>
      <c r="T85">
        <v>22</v>
      </c>
      <c r="U85" s="6">
        <f>M85/[1]!x__9[[#Totals],[monteSeq_50_22.txt]]</f>
        <v>1.8598845686346149E-2</v>
      </c>
      <c r="V85" s="6">
        <f>N85/[1]!x__9[[#Totals],[montePar_50_22.txt]]</f>
        <v>8.4490589599436668E-3</v>
      </c>
      <c r="W85" s="6">
        <f>O85/[1]!x__6[[#Totals],[montePar_50_22.txt]]</f>
        <v>7.6718736228450343E-3</v>
      </c>
      <c r="X85" s="5">
        <f>P85/[1]!x__4[[#Totals],[montePar_50_22.txt]]</f>
        <v>6.3139308005449729E-3</v>
      </c>
      <c r="Y85" s="5">
        <f>Q85/[1]!x__2[[#Totals],[montePar_50_22.txt]]</f>
        <v>7.1783527377105201E-3</v>
      </c>
      <c r="Z85" s="6"/>
      <c r="AB85">
        <v>22</v>
      </c>
      <c r="AC85" s="11">
        <f>($E85/F85)</f>
        <v>81.956665399884258</v>
      </c>
      <c r="AD85" s="11">
        <f>($E85/G85)</f>
        <v>82.16919246206092</v>
      </c>
      <c r="AE85" s="11">
        <f>($E85/H85)</f>
        <v>38.808738874407283</v>
      </c>
      <c r="AF85" s="11">
        <f>($E85/I85)</f>
        <v>58.679569395641074</v>
      </c>
    </row>
    <row r="86" spans="2:32" x14ac:dyDescent="0.25">
      <c r="B86" s="1"/>
      <c r="C86" s="1"/>
      <c r="D86">
        <v>23</v>
      </c>
      <c r="E86">
        <f>AVERAGE([1]!x__9[monteSeq_50_23.txt])</f>
        <v>2.8274816</v>
      </c>
      <c r="F86">
        <f>AVERAGE([1]!x__9[montePar_50_23.txt])</f>
        <v>3.3156656E-2</v>
      </c>
      <c r="G86">
        <f>AVERAGE([1]!x__6[montePar_50_23.txt])</f>
        <v>3.3235205999999996E-2</v>
      </c>
      <c r="H86">
        <f>AVERAGE([1]!x__4[montePar_50_23.txt])</f>
        <v>5.2646803999999978E-2</v>
      </c>
      <c r="I86">
        <f>SUBTOTAL(101,[1]!x__2[montePar_50_23.txt])</f>
        <v>4.1725691999999981E-2</v>
      </c>
      <c r="L86">
        <v>23</v>
      </c>
      <c r="M86">
        <f>_xlfn.STDEV.S([1]!x__9[monteSeq_50_23.txt])</f>
        <v>3.7796071999775908E-2</v>
      </c>
      <c r="N86">
        <f>_xlfn.STDEV.S([1]!x__9[montePar_50_23.txt])</f>
        <v>1.0672771604146971E-4</v>
      </c>
      <c r="O86">
        <f>STDEVPA([1]!x__6[montePar_50_23.txt])</f>
        <v>1.2537998629765434E-4</v>
      </c>
      <c r="P86">
        <f>_xlfn.STDEV.P([1]!x__4[montePar_50_23.txt])</f>
        <v>1.5041486357404937E-4</v>
      </c>
      <c r="Q86">
        <f>_xlfn.STDEV.P([1]!x__2[montePar_50_23.txt])</f>
        <v>9.4852647086731345E-4</v>
      </c>
      <c r="T86">
        <v>23</v>
      </c>
      <c r="U86" s="6">
        <f>M86/[1]!x__9[[#Totals],[monteSeq_50_23.txt]]</f>
        <v>1.3367398040636554E-2</v>
      </c>
      <c r="V86" s="6">
        <f>N86/[1]!x__9[[#Totals],[montePar_50_23.txt]]</f>
        <v>3.2188926422938944E-3</v>
      </c>
      <c r="W86" s="6">
        <f>O86/[1]!x__6[[#Totals],[montePar_50_23.txt]]</f>
        <v>3.7725051650847104E-3</v>
      </c>
      <c r="X86" s="5">
        <f>P86/[1]!x__4[[#Totals],[montePar_50_23.txt]]</f>
        <v>2.857055930195676E-3</v>
      </c>
      <c r="Y86" s="5">
        <f>Q86/[1]!x__2[[#Totals],[montePar_50_23.txt]]</f>
        <v>2.2732432355281582E-2</v>
      </c>
      <c r="Z86" s="6"/>
      <c r="AB86">
        <v>23</v>
      </c>
      <c r="AC86" s="11">
        <f>($E86/F86)</f>
        <v>85.276440422701256</v>
      </c>
      <c r="AD86" s="11">
        <f>($E86/G86)</f>
        <v>85.074893172017653</v>
      </c>
      <c r="AE86" s="11">
        <f>($E86/H86)</f>
        <v>53.706614365422851</v>
      </c>
      <c r="AF86" s="11">
        <f>($E86/I86)</f>
        <v>67.763563993138845</v>
      </c>
    </row>
    <row r="87" spans="2:32" x14ac:dyDescent="0.25">
      <c r="B87" s="1"/>
      <c r="C87" s="1"/>
      <c r="D87">
        <v>24</v>
      </c>
      <c r="E87">
        <f>AVERAGE([1]!x__9[monteSeq_50_24.txt])</f>
        <v>5.6388499999999997</v>
      </c>
      <c r="F87">
        <f>AVERAGE([1]!x__9[montePar_50_24.txt])</f>
        <v>6.4876708000000005E-2</v>
      </c>
      <c r="G87">
        <f>AVERAGE([1]!x__6[montePar_50_24.txt])</f>
        <v>6.506189200000001E-2</v>
      </c>
      <c r="H87">
        <f>AVERAGE([1]!x__4[montePar_50_24.txt])</f>
        <v>8.5702901999999984E-2</v>
      </c>
      <c r="I87">
        <f>SUBTOTAL(101,[1]!x__2[montePar_50_24.txt])</f>
        <v>7.619964600000001E-2</v>
      </c>
      <c r="L87">
        <v>24</v>
      </c>
      <c r="M87">
        <f>_xlfn.STDEV.S([1]!x__9[monteSeq_50_24.txt])</f>
        <v>6.3894582792315621E-2</v>
      </c>
      <c r="N87">
        <f>_xlfn.STDEV.S([1]!x__9[montePar_50_24.txt])</f>
        <v>9.4082236801814375E-5</v>
      </c>
      <c r="O87">
        <f>STDEVPA([1]!x__6[montePar_50_24.txt])</f>
        <v>6.8402990694851188E-5</v>
      </c>
      <c r="P87">
        <f>_xlfn.STDEV.P([1]!x__4[montePar_50_24.txt])</f>
        <v>1.557825246810442E-4</v>
      </c>
      <c r="Q87">
        <f>_xlfn.STDEV.P([1]!x__2[montePar_50_24.txt])</f>
        <v>1.8342353525106799E-4</v>
      </c>
      <c r="T87">
        <v>24</v>
      </c>
      <c r="U87" s="6">
        <f>M87/[1]!x__9[[#Totals],[monteSeq_50_24.txt]]</f>
        <v>1.1331137163130004E-2</v>
      </c>
      <c r="V87" s="6">
        <f>N87/[1]!x__9[[#Totals],[montePar_50_24.txt]]</f>
        <v>1.4501697096254386E-3</v>
      </c>
      <c r="W87" s="6">
        <f>O87/[1]!x__6[[#Totals],[montePar_50_24.txt]]</f>
        <v>1.0513526212064534E-3</v>
      </c>
      <c r="X87" s="5">
        <f>P87/[1]!x__4[[#Totals],[montePar_50_24.txt]]</f>
        <v>1.8177041972399514E-3</v>
      </c>
      <c r="Y87" s="5">
        <f>Q87/[1]!x__2[[#Totals],[montePar_50_24.txt]]</f>
        <v>2.4071441913400488E-3</v>
      </c>
      <c r="Z87" s="6"/>
      <c r="AB87">
        <v>24</v>
      </c>
      <c r="AC87" s="11">
        <f>($E87/F87)</f>
        <v>86.916401491888266</v>
      </c>
      <c r="AD87" s="11">
        <f>($E87/G87)</f>
        <v>86.669013560195864</v>
      </c>
      <c r="AE87" s="11">
        <f>($E87/H87)</f>
        <v>65.795321609996364</v>
      </c>
      <c r="AF87" s="11">
        <f>($E87/I87)</f>
        <v>74.000999952152</v>
      </c>
    </row>
    <row r="88" spans="2:32" x14ac:dyDescent="0.25">
      <c r="B88" s="1"/>
      <c r="C88" s="1"/>
      <c r="D88">
        <v>25</v>
      </c>
      <c r="E88">
        <f>AVERAGE([1]!x__9[monteSeq_50_25.txt])</f>
        <v>11.295936000000001</v>
      </c>
      <c r="F88">
        <f>AVERAGE([1]!x__9[montePar_50_25.txt])</f>
        <v>0.12824015999999999</v>
      </c>
      <c r="G88">
        <f>AVERAGE([1]!x__6[montePar_50_25.txt])</f>
        <v>0.12891376000000002</v>
      </c>
      <c r="H88">
        <f>AVERAGE([1]!x__4[montePar_50_25.txt])</f>
        <v>0.15155553999999999</v>
      </c>
      <c r="I88">
        <f>SUBTOTAL(101,[1]!x__2[montePar_50_25.txt])</f>
        <v>0.14558070000000001</v>
      </c>
      <c r="L88">
        <v>25</v>
      </c>
      <c r="M88">
        <f>_xlfn.STDEV.S([1]!x__9[monteSeq_50_25.txt])</f>
        <v>0.11821556884931583</v>
      </c>
      <c r="N88">
        <f>_xlfn.STDEV.S([1]!x__9[montePar_50_25.txt])</f>
        <v>9.2974071434910309E-5</v>
      </c>
      <c r="O88">
        <f>STDEVPA([1]!x__6[montePar_50_25.txt])</f>
        <v>8.0314023682042984E-5</v>
      </c>
      <c r="P88">
        <f>_xlfn.STDEV.P([1]!x__4[montePar_50_25.txt])</f>
        <v>1.0627327227482914E-4</v>
      </c>
      <c r="Q88">
        <f>_xlfn.STDEV.P([1]!x__2[montePar_50_25.txt])</f>
        <v>2.7227745040674843E-4</v>
      </c>
      <c r="T88">
        <v>25</v>
      </c>
      <c r="U88" s="6">
        <f>M88/[1]!x__9[[#Totals],[monteSeq_50_25.txt]]</f>
        <v>1.0465318575575836E-2</v>
      </c>
      <c r="V88" s="6">
        <f>N88/[1]!x__9[[#Totals],[montePar_50_25.txt]]</f>
        <v>7.2499965248725763E-4</v>
      </c>
      <c r="W88" s="6">
        <f>O88/[1]!x__6[[#Totals],[montePar_50_25.txt]]</f>
        <v>6.2300582716727038E-4</v>
      </c>
      <c r="X88" s="5">
        <f>P88/[1]!x__4[[#Totals],[montePar_50_25.txt]]</f>
        <v>7.0121667789134695E-4</v>
      </c>
      <c r="Y88" s="5">
        <f>Q88/[1]!x__2[[#Totals],[montePar_50_25.txt]]</f>
        <v>1.8702853496840475E-3</v>
      </c>
      <c r="Z88" s="6"/>
      <c r="AB88">
        <v>25</v>
      </c>
      <c r="AC88" s="11">
        <f>($E88/F88)</f>
        <v>88.08423195978547</v>
      </c>
      <c r="AD88" s="11">
        <f>($E88/G88)</f>
        <v>87.623974353086894</v>
      </c>
      <c r="AE88" s="11">
        <f>($E88/H88)</f>
        <v>74.533309702832383</v>
      </c>
      <c r="AF88" s="11">
        <f>($E88/I88)</f>
        <v>77.592263260171165</v>
      </c>
    </row>
    <row r="89" spans="2:32" x14ac:dyDescent="0.25">
      <c r="B89" s="1"/>
      <c r="C89" s="1"/>
      <c r="D89">
        <v>26</v>
      </c>
      <c r="F89">
        <f>AVERAGE([1]!x__9[montePar_50_26.txt])</f>
        <v>0.25806209999999996</v>
      </c>
      <c r="G89">
        <f>AVERAGE([1]!x__6[montePar_50_26.txt])</f>
        <v>0.25797552000000001</v>
      </c>
      <c r="H89">
        <f>AVERAGE([1]!x__4[montePar_50_26.txt])</f>
        <v>0.28302810000000006</v>
      </c>
      <c r="I89">
        <f>SUBTOTAL(101,[1]!x__2[montePar_50_26.txt])</f>
        <v>0.28369853999999994</v>
      </c>
      <c r="L89">
        <v>26</v>
      </c>
      <c r="N89">
        <f>_xlfn.STDEV.S([1]!x__9[montePar_50_26.txt])</f>
        <v>1.5178734452906022E-4</v>
      </c>
      <c r="O89">
        <f>STDEVPA([1]!x__6[montePar_50_26.txt])</f>
        <v>2.0669951523890861E-4</v>
      </c>
      <c r="P89">
        <f>_xlfn.STDEV.P([1]!x__4[montePar_50_26.txt])</f>
        <v>1.6926940066060275E-4</v>
      </c>
      <c r="Q89">
        <f>_xlfn.STDEV.P([1]!x__2[montePar_50_26.txt])</f>
        <v>1.6687710567960069E-4</v>
      </c>
      <c r="T89">
        <v>26</v>
      </c>
      <c r="V89" s="6">
        <f>N89/[1]!x__9[[#Totals],[montePar_50_26.txt]]</f>
        <v>5.8818146689909232E-4</v>
      </c>
      <c r="W89" s="6">
        <f>O89/[1]!x__6[[#Totals],[montePar_50_26.txt]]</f>
        <v>8.0123693612056137E-4</v>
      </c>
      <c r="X89" s="5">
        <f>P89/[1]!x__4[[#Totals],[montePar_50_26.txt]]</f>
        <v>5.9806570676410834E-4</v>
      </c>
      <c r="Y89" s="5">
        <f>Q89/[1]!x__2[[#Totals],[montePar_50_26.txt]]</f>
        <v>5.8821982545134255E-4</v>
      </c>
      <c r="Z89" s="6"/>
      <c r="AC89" s="5"/>
    </row>
    <row r="90" spans="2:32" x14ac:dyDescent="0.25">
      <c r="B90" s="1"/>
      <c r="C90" s="1"/>
      <c r="D90">
        <v>27</v>
      </c>
      <c r="F90">
        <f>AVERAGE([1]!x__9[montePar_50_27.txt])</f>
        <v>0.51500042000000013</v>
      </c>
      <c r="G90">
        <f>AVERAGE([1]!x__6[montePar_50_27.txt])</f>
        <v>0.51482478000000009</v>
      </c>
      <c r="H90">
        <f>AVERAGE([1]!x__4[montePar_50_27.txt])</f>
        <v>0.54591358000000012</v>
      </c>
      <c r="I90">
        <f>SUBTOTAL(101,[1]!x__2[montePar_50_27.txt])</f>
        <v>0.56295077999999998</v>
      </c>
      <c r="L90">
        <v>27</v>
      </c>
      <c r="N90">
        <f>_xlfn.STDEV.S([1]!x__9[montePar_50_27.txt])</f>
        <v>9.0864799767214615E-5</v>
      </c>
      <c r="O90">
        <f>STDEVPA([1]!x__6[montePar_50_27.txt])</f>
        <v>6.5530539445371989E-5</v>
      </c>
      <c r="P90">
        <f>_xlfn.STDEV.P([1]!x__4[montePar_50_27.txt])</f>
        <v>1.1155807276930591E-4</v>
      </c>
      <c r="Q90">
        <f>_xlfn.STDEV.P([1]!x__2[montePar_50_27.txt])</f>
        <v>3.8652749309201809E-3</v>
      </c>
      <c r="T90">
        <v>27</v>
      </c>
      <c r="V90" s="6">
        <f>N90/[1]!x__9[[#Totals],[montePar_50_27.txt]]</f>
        <v>1.7643636051251101E-4</v>
      </c>
      <c r="W90" s="6">
        <f>O90/[1]!x__6[[#Totals],[montePar_50_27.txt]]</f>
        <v>1.272870731773478E-4</v>
      </c>
      <c r="X90" s="5">
        <f>P90/[1]!x__4[[#Totals],[montePar_50_27.txt]]</f>
        <v>2.0435115896788258E-4</v>
      </c>
      <c r="Y90" s="5">
        <f>Q90/[1]!x__2[[#Totals],[montePar_50_27.txt]]</f>
        <v>6.8660974782203538E-3</v>
      </c>
      <c r="Z90" s="6"/>
      <c r="AC90" s="5"/>
    </row>
    <row r="91" spans="2:32" x14ac:dyDescent="0.25">
      <c r="B91" s="1"/>
      <c r="C91" s="1"/>
      <c r="D91">
        <v>28</v>
      </c>
      <c r="F91">
        <f>AVERAGE([1]!x__9[montePar_50_28.txt])</f>
        <v>1.0340558</v>
      </c>
      <c r="G91">
        <f>AVERAGE([1]!x__6[montePar_50_28.txt])</f>
        <v>1.0335284</v>
      </c>
      <c r="H91">
        <f>AVERAGE([1]!x__4[montePar_50_28.txt])</f>
        <v>1.0720431999999998</v>
      </c>
      <c r="I91">
        <f>SUBTOTAL(101,[1]!x__2[montePar_50_28.txt])</f>
        <v>1.1296053999999998</v>
      </c>
      <c r="L91">
        <v>28</v>
      </c>
      <c r="N91">
        <f>_xlfn.STDEV.S([1]!x__9[montePar_50_28.txt])</f>
        <v>1.2689526454231126E-4</v>
      </c>
      <c r="O91">
        <f>STDEVPA([1]!x__6[montePar_50_28.txt])</f>
        <v>1.2318051794014427E-4</v>
      </c>
      <c r="P91">
        <f>_xlfn.STDEV.P([1]!x__4[montePar_50_28.txt])</f>
        <v>1.1640343637540076E-4</v>
      </c>
      <c r="Q91">
        <f>_xlfn.STDEV.P([1]!x__2[montePar_50_28.txt])</f>
        <v>2.576991268902467E-4</v>
      </c>
      <c r="T91">
        <v>28</v>
      </c>
      <c r="V91" s="6">
        <f>N91/[1]!x__9[[#Totals],[montePar_50_28.txt]]</f>
        <v>1.2271607058566013E-4</v>
      </c>
      <c r="W91" s="6">
        <f>O91/[1]!x__6[[#Totals],[montePar_50_28.txt]]</f>
        <v>1.1918445389613317E-4</v>
      </c>
      <c r="X91" s="5">
        <f>P91/[1]!x__4[[#Totals],[montePar_50_28.txt]]</f>
        <v>1.0858091947731285E-4</v>
      </c>
      <c r="Y91" s="5">
        <f>Q91/[1]!x__2[[#Totals],[montePar_50_28.txt]]</f>
        <v>2.2813198917980275E-4</v>
      </c>
      <c r="Z91" s="6"/>
      <c r="AC91" s="5"/>
    </row>
    <row r="92" spans="2:32" x14ac:dyDescent="0.25">
      <c r="B92" s="1"/>
      <c r="C92" s="1"/>
      <c r="D92">
        <v>29</v>
      </c>
      <c r="F92">
        <f>AVERAGE([1]!x__9[montePar_50_29.txt])</f>
        <v>2.0659780000000003</v>
      </c>
      <c r="G92">
        <f>AVERAGE([1]!x__6[montePar_50_29.txt])</f>
        <v>2.0653464000000001</v>
      </c>
      <c r="H92">
        <f>AVERAGE([1]!x__4[montePar_50_29.txt])</f>
        <v>2.1235875999999991</v>
      </c>
      <c r="I92">
        <f>SUBTOTAL(101,[1]!x__2[montePar_50_29.txt])</f>
        <v>2.2516362000000001</v>
      </c>
      <c r="L92">
        <v>29</v>
      </c>
      <c r="N92">
        <f>_xlfn.STDEV.S([1]!x__9[montePar_50_29.txt])</f>
        <v>1.6977776590568192E-4</v>
      </c>
      <c r="O92">
        <f>STDEVPA([1]!x__6[montePar_50_29.txt])</f>
        <v>1.3972487251740553E-4</v>
      </c>
      <c r="P92">
        <f>_xlfn.STDEV.P([1]!x__4[montePar_50_29.txt])</f>
        <v>5.7258906730745906E-4</v>
      </c>
      <c r="Q92">
        <f>_xlfn.STDEV.P([1]!x__2[montePar_50_29.txt])</f>
        <v>3.2931984452808983E-4</v>
      </c>
      <c r="T92">
        <v>29</v>
      </c>
      <c r="V92" s="6">
        <f>N92/[1]!x__9[[#Totals],[montePar_50_29.txt]]</f>
        <v>8.2177915692075086E-5</v>
      </c>
      <c r="W92" s="6">
        <f>O92/[1]!x__6[[#Totals],[montePar_50_29.txt]]</f>
        <v>6.7652028016900955E-5</v>
      </c>
      <c r="X92" s="5">
        <f>P92/[1]!x__4[[#Totals],[montePar_50_29.txt]]</f>
        <v>2.6963289261411176E-4</v>
      </c>
      <c r="Y92" s="5">
        <f>Q92/[1]!x__2[[#Totals],[montePar_50_29.txt]]</f>
        <v>1.462580165162071E-4</v>
      </c>
      <c r="Z92" s="6"/>
      <c r="AC92" s="5"/>
    </row>
    <row r="93" spans="2:32" x14ac:dyDescent="0.25">
      <c r="B93" s="1"/>
      <c r="C93" s="1"/>
      <c r="D93">
        <v>30</v>
      </c>
      <c r="F93">
        <f>AVERAGE([1]!x__9[montePar_50_30.txt])</f>
        <v>4.1297639999999989</v>
      </c>
      <c r="G93">
        <f>AVERAGE([1]!x__6[montePar_50_30.txt])</f>
        <v>4.1285478000000007</v>
      </c>
      <c r="H93">
        <f>AVERAGE([1]!x__4[montePar_50_30.txt])</f>
        <v>4.2630709999999983</v>
      </c>
      <c r="I93">
        <f>SUBTOTAL(101,[1]!x__2[montePar_50_30.txt])</f>
        <v>4.4955701999999995</v>
      </c>
      <c r="L93">
        <v>30</v>
      </c>
      <c r="N93">
        <f>_xlfn.STDEV.S([1]!x__9[montePar_50_30.txt])</f>
        <v>4.5891620327967789E-4</v>
      </c>
      <c r="O93">
        <f>STDEVPA([1]!x__6[montePar_50_30.txt])</f>
        <v>2.6522662008184115E-4</v>
      </c>
      <c r="P93">
        <f>_xlfn.STDEV.P([1]!x__4[montePar_50_30.txt])</f>
        <v>1.4460910517667978E-2</v>
      </c>
      <c r="Q93">
        <f>_xlfn.STDEV.P([1]!x__2[montePar_50_30.txt])</f>
        <v>5.9838612951840947E-4</v>
      </c>
      <c r="T93">
        <v>30</v>
      </c>
      <c r="V93" s="6">
        <f>N93/[1]!x__9[[#Totals],[montePar_50_30.txt]]</f>
        <v>1.1112407471218162E-4</v>
      </c>
      <c r="W93" s="6">
        <f>O93/[1]!x__6[[#Totals],[montePar_50_30.txt]]</f>
        <v>6.4242109557709638E-5</v>
      </c>
      <c r="X93" s="5">
        <f>P93/[1]!x__4[[#Totals],[montePar_50_30.txt]]</f>
        <v>3.3921345709860295E-3</v>
      </c>
      <c r="Y93" s="5">
        <f>Q93/[1]!x__2[[#Totals],[montePar_50_30.txt]]</f>
        <v>1.3310572472395371E-4</v>
      </c>
      <c r="Z93" s="6"/>
      <c r="AC93" s="5"/>
    </row>
    <row r="122" spans="5:13" x14ac:dyDescent="0.25">
      <c r="F122" s="2" t="s">
        <v>12</v>
      </c>
      <c r="G122" s="2"/>
      <c r="H122" s="2" t="s">
        <v>14</v>
      </c>
      <c r="I122" s="2"/>
      <c r="J122" s="2" t="s">
        <v>13</v>
      </c>
      <c r="K122" s="2"/>
      <c r="L122" s="2" t="s">
        <v>15</v>
      </c>
      <c r="M122" s="2"/>
    </row>
    <row r="124" spans="5:13" x14ac:dyDescent="0.25">
      <c r="E124">
        <v>15</v>
      </c>
      <c r="F124">
        <v>5.4357420000000004E-3</v>
      </c>
      <c r="G124">
        <v>1.7328460000000003E-3</v>
      </c>
      <c r="H124">
        <v>6.9972440000000014E-3</v>
      </c>
      <c r="I124">
        <v>1.8741420000000001E-3</v>
      </c>
      <c r="J124">
        <v>9.8698200000000014E-3</v>
      </c>
      <c r="K124">
        <v>1.4004200000000001E-3</v>
      </c>
      <c r="L124">
        <v>1.1112542000000001E-2</v>
      </c>
      <c r="M124">
        <v>1.520668E-3</v>
      </c>
    </row>
    <row r="125" spans="5:13" x14ac:dyDescent="0.25">
      <c r="E125">
        <v>16</v>
      </c>
      <c r="F125">
        <v>1.0932134000000003E-2</v>
      </c>
      <c r="G125">
        <v>1.7155719999999996E-3</v>
      </c>
      <c r="H125">
        <v>1.4218786000000004E-2</v>
      </c>
      <c r="I125">
        <v>1.8475239999999995E-3</v>
      </c>
      <c r="J125">
        <v>1.9966069999999999E-2</v>
      </c>
      <c r="K125">
        <v>1.3192919999999999E-3</v>
      </c>
      <c r="L125">
        <v>2.2924622000000002E-2</v>
      </c>
      <c r="M125">
        <v>1.43589E-3</v>
      </c>
    </row>
    <row r="126" spans="5:13" x14ac:dyDescent="0.25">
      <c r="E126">
        <v>17</v>
      </c>
      <c r="F126">
        <v>2.2631022000000001E-2</v>
      </c>
      <c r="G126">
        <v>1.74092E-3</v>
      </c>
      <c r="H126">
        <v>2.794737000000001E-2</v>
      </c>
      <c r="I126">
        <v>2.1146480000000007E-3</v>
      </c>
      <c r="J126">
        <v>3.9956145999999998E-2</v>
      </c>
      <c r="K126">
        <v>1.314258E-3</v>
      </c>
      <c r="L126">
        <v>4.5119554000000006E-2</v>
      </c>
      <c r="M126">
        <v>1.5952340000000001E-3</v>
      </c>
    </row>
    <row r="127" spans="5:13" x14ac:dyDescent="0.25">
      <c r="E127">
        <v>18</v>
      </c>
      <c r="F127">
        <v>4.3343595999999998E-2</v>
      </c>
      <c r="G127">
        <v>1.8278340000000006E-3</v>
      </c>
      <c r="H127">
        <v>5.5393451999999996E-2</v>
      </c>
      <c r="I127">
        <v>2.6355000000000007E-3</v>
      </c>
      <c r="J127">
        <v>7.9254432000000014E-2</v>
      </c>
      <c r="K127">
        <v>1.3603720000000003E-3</v>
      </c>
      <c r="L127">
        <v>8.925664400000001E-2</v>
      </c>
      <c r="M127">
        <v>2.1851879999999994E-3</v>
      </c>
    </row>
    <row r="128" spans="5:13" x14ac:dyDescent="0.25">
      <c r="E128">
        <v>19</v>
      </c>
      <c r="F128">
        <v>8.5688996000000003E-2</v>
      </c>
      <c r="G128">
        <v>1.8092780000000001E-3</v>
      </c>
      <c r="H128">
        <v>0.10976636000000005</v>
      </c>
      <c r="I128">
        <v>3.7016160000000009E-3</v>
      </c>
      <c r="J128">
        <v>0.15436032000000005</v>
      </c>
      <c r="K128">
        <v>1.4609919999999999E-3</v>
      </c>
      <c r="L128">
        <v>0.17714909999999995</v>
      </c>
      <c r="M128">
        <v>3.2472679999999998E-3</v>
      </c>
    </row>
    <row r="129" spans="5:13" x14ac:dyDescent="0.25">
      <c r="E129">
        <v>20</v>
      </c>
      <c r="F129">
        <v>0.16995272000000003</v>
      </c>
      <c r="G129">
        <v>2.574228E-3</v>
      </c>
      <c r="H129">
        <v>0.21867504000000001</v>
      </c>
      <c r="I129">
        <v>5.684083999999999E-3</v>
      </c>
      <c r="J129">
        <v>0.30672274000000005</v>
      </c>
      <c r="K129">
        <v>1.8015039999999998E-3</v>
      </c>
      <c r="L129">
        <v>0.35168701999999996</v>
      </c>
      <c r="M129">
        <v>5.3157100000000004E-3</v>
      </c>
    </row>
    <row r="130" spans="5:13" x14ac:dyDescent="0.25">
      <c r="E130">
        <v>21</v>
      </c>
      <c r="F130">
        <v>0.33908366000000006</v>
      </c>
      <c r="G130">
        <v>2.6995419999999997E-3</v>
      </c>
      <c r="H130">
        <v>0.43768526000000002</v>
      </c>
      <c r="I130">
        <v>9.6556380000000011E-3</v>
      </c>
      <c r="J130">
        <v>0.61355301999999989</v>
      </c>
      <c r="K130">
        <v>2.5276460000000001E-3</v>
      </c>
      <c r="L130">
        <v>0.70468251999999998</v>
      </c>
      <c r="M130">
        <v>9.3181060000000013E-3</v>
      </c>
    </row>
    <row r="131" spans="5:13" x14ac:dyDescent="0.25">
      <c r="E131">
        <v>22</v>
      </c>
      <c r="F131">
        <v>0.67660519999999991</v>
      </c>
      <c r="G131">
        <v>3.9051880000000004E-3</v>
      </c>
      <c r="H131">
        <v>0.87515435999999991</v>
      </c>
      <c r="I131">
        <v>1.7320970000000002E-2</v>
      </c>
      <c r="J131">
        <v>1.2297958000000004</v>
      </c>
      <c r="K131">
        <v>3.9480940000000001E-3</v>
      </c>
      <c r="L131">
        <v>1.4172894000000003</v>
      </c>
      <c r="M131">
        <v>1.7293155999999994E-2</v>
      </c>
    </row>
    <row r="132" spans="5:13" x14ac:dyDescent="0.25">
      <c r="E132">
        <v>23</v>
      </c>
      <c r="F132">
        <v>1.3568824000000002</v>
      </c>
      <c r="G132">
        <v>6.1296839999999998E-3</v>
      </c>
      <c r="H132">
        <v>1.7651883999999998</v>
      </c>
      <c r="I132">
        <v>3.2803008000000002E-2</v>
      </c>
      <c r="J132">
        <v>2.4624284000000007</v>
      </c>
      <c r="K132">
        <v>6.6746779999999973E-3</v>
      </c>
      <c r="L132">
        <v>2.8274816</v>
      </c>
      <c r="M132">
        <v>3.3156656E-2</v>
      </c>
    </row>
    <row r="133" spans="5:13" x14ac:dyDescent="0.25">
      <c r="E133">
        <v>24</v>
      </c>
      <c r="F133">
        <v>2.7074564000000003</v>
      </c>
      <c r="G133">
        <v>1.0301429999999999E-2</v>
      </c>
      <c r="H133">
        <v>3.4896515999999984</v>
      </c>
      <c r="I133">
        <v>6.3494821999999992E-2</v>
      </c>
      <c r="J133">
        <v>4.9080325999999994</v>
      </c>
      <c r="K133">
        <v>1.1796657999999998E-2</v>
      </c>
      <c r="L133">
        <v>5.6388499999999997</v>
      </c>
      <c r="M133">
        <v>6.4876708000000005E-2</v>
      </c>
    </row>
    <row r="134" spans="5:13" x14ac:dyDescent="0.25">
      <c r="E134">
        <v>25</v>
      </c>
      <c r="F134">
        <v>5.4162542</v>
      </c>
      <c r="G134">
        <v>1.8721632000000002E-2</v>
      </c>
      <c r="H134">
        <v>6.985761199999998</v>
      </c>
      <c r="I134">
        <v>0.12568108</v>
      </c>
      <c r="J134">
        <v>9.8325650000000007</v>
      </c>
      <c r="K134">
        <v>2.2135037999999999E-2</v>
      </c>
      <c r="L134">
        <v>11.295936000000001</v>
      </c>
      <c r="M134">
        <v>0.12824015999999999</v>
      </c>
    </row>
    <row r="135" spans="5:13" x14ac:dyDescent="0.25">
      <c r="E135">
        <v>26</v>
      </c>
      <c r="G135">
        <v>3.5551110000000004E-2</v>
      </c>
      <c r="I135">
        <v>0.24994232000000005</v>
      </c>
      <c r="K135">
        <v>4.3019254E-2</v>
      </c>
      <c r="M135">
        <v>0.25806209999999996</v>
      </c>
    </row>
    <row r="136" spans="5:13" x14ac:dyDescent="0.25">
      <c r="E136">
        <v>27</v>
      </c>
      <c r="G136">
        <v>6.9445668000000002E-2</v>
      </c>
      <c r="I136">
        <v>0.49960715999999988</v>
      </c>
      <c r="K136">
        <v>8.4762634000000017E-2</v>
      </c>
      <c r="M136">
        <v>0.51500042000000013</v>
      </c>
    </row>
    <row r="137" spans="5:13" x14ac:dyDescent="0.25">
      <c r="E137">
        <v>28</v>
      </c>
      <c r="G137">
        <v>0.13680924</v>
      </c>
      <c r="I137">
        <v>0.99723408000000002</v>
      </c>
      <c r="K137">
        <v>0.16868465999999999</v>
      </c>
      <c r="M137">
        <v>1.0340558</v>
      </c>
    </row>
    <row r="138" spans="5:13" x14ac:dyDescent="0.25">
      <c r="E138">
        <v>29</v>
      </c>
      <c r="G138">
        <v>0.27332997999999992</v>
      </c>
      <c r="I138">
        <v>2.0022243999999998</v>
      </c>
      <c r="K138">
        <v>0.33816892000000004</v>
      </c>
      <c r="M138">
        <v>2.0659780000000003</v>
      </c>
    </row>
    <row r="139" spans="5:13" x14ac:dyDescent="0.25">
      <c r="E139">
        <v>30</v>
      </c>
      <c r="G139">
        <v>0.54756092000000012</v>
      </c>
      <c r="I139">
        <v>4.0020401999999988</v>
      </c>
      <c r="K139">
        <v>0.67526457999999989</v>
      </c>
      <c r="M139">
        <v>4.1297639999999989</v>
      </c>
    </row>
  </sheetData>
  <mergeCells count="16">
    <mergeCell ref="AC1:AG2"/>
    <mergeCell ref="AC50:AG51"/>
    <mergeCell ref="F122:G122"/>
    <mergeCell ref="H122:I122"/>
    <mergeCell ref="J122:K122"/>
    <mergeCell ref="L122:M122"/>
    <mergeCell ref="U1:Y2"/>
    <mergeCell ref="E1:I2"/>
    <mergeCell ref="M1:Q2"/>
    <mergeCell ref="E50:I51"/>
    <mergeCell ref="M50:Q51"/>
    <mergeCell ref="U50:Y51"/>
    <mergeCell ref="B78:C93"/>
    <mergeCell ref="B54:C70"/>
    <mergeCell ref="B5:C21"/>
    <mergeCell ref="B29:C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2020-11-29T14:44:24Z</dcterms:created>
  <dcterms:modified xsi:type="dcterms:W3CDTF">2020-11-29T23:45:22Z</dcterms:modified>
</cp:coreProperties>
</file>