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placeholders" codeName="EstaPasta_de_trabalho"/>
  <mc:AlternateContent xmlns:mc="http://schemas.openxmlformats.org/markup-compatibility/2006">
    <mc:Choice Requires="x15">
      <x15ac:absPath xmlns:x15ac="http://schemas.microsoft.com/office/spreadsheetml/2010/11/ac" url="https://grupoequatorialenergia-my.sharepoint.com/personal/romulo_neres_equatorialenergia_com_br/Documents/Documentos/Normas site/Ajuste/NT.00004 REV 05/"/>
    </mc:Choice>
  </mc:AlternateContent>
  <workbookProtection workbookPassword="DE08" lockStructure="1"/>
  <bookViews>
    <workbookView xWindow="0" yWindow="0" windowWidth="20490" windowHeight="9050" tabRatio="826" activeTab="2"/>
  </bookViews>
  <sheets>
    <sheet name="Capa" sheetId="1" r:id="rId1"/>
    <sheet name="BT" sheetId="2" state="hidden" r:id="rId2"/>
    <sheet name="BT-MX" sheetId="3" r:id="rId3"/>
    <sheet name="mT" sheetId="4" state="hidden" r:id="rId4"/>
    <sheet name="K% (Rede Convencional)" sheetId="5" state="hidden" r:id="rId5"/>
    <sheet name="Características dos Cabos" sheetId="6" state="hidden" r:id="rId6"/>
    <sheet name="Características dos Cabos MX" sheetId="7" state="hidden" r:id="rId7"/>
    <sheet name="e.e." sheetId="8" state="hidden" r:id="rId8"/>
    <sheet name="Fórmulas" sheetId="9" state="hidden" r:id="rId9"/>
    <sheet name="Sheet2" sheetId="11" state="hidden" r:id="rId10"/>
    <sheet name="Procedimento" sheetId="12" r:id="rId11"/>
  </sheets>
  <definedNames>
    <definedName name="_xlnm.Print_Area" localSheetId="1">BT!$A$1:$V$194</definedName>
    <definedName name="_xlnm.Print_Area" localSheetId="2">'BT-MX'!$A$1:$Y$195</definedName>
    <definedName name="_xlnm.Print_Area" localSheetId="0">Capa!$A$1:$Q$43</definedName>
    <definedName name="_xlnm.Print_Area" localSheetId="5">'Características dos Cabos'!$A$1:$L$30</definedName>
    <definedName name="_xlnm.Print_Area" localSheetId="6">'Características dos Cabos MX'!$A$1:$L$27</definedName>
    <definedName name="_xlnm.Print_Area" localSheetId="7">e.e.!$A$1:$O$45</definedName>
    <definedName name="_xlnm.Print_Area" localSheetId="8">Fórmulas!$A$1:$N$27</definedName>
    <definedName name="_xlnm.Print_Area" localSheetId="4">'K% (Rede Convencional)'!$A$1:$M$30</definedName>
    <definedName name="_xlnm.Print_Area" localSheetId="3">mT!$A$1:$AA$76</definedName>
    <definedName name="condutores">#REF!</definedName>
    <definedName name="Descrição">Sheet2!$A$1:$C$1</definedName>
    <definedName name="Duplex">Sheet2!$A$2:$A$4</definedName>
    <definedName name="Impedancia_sistema">#REF!</definedName>
    <definedName name="Quadruplex">Sheet2!$C$2:$C$8</definedName>
    <definedName name="Sistema">#REF!</definedName>
    <definedName name="_xlnm.Print_Titles" localSheetId="1">BT!$1:$19</definedName>
    <definedName name="_xlnm.Print_Titles" localSheetId="2">'BT-MX'!$1:$18</definedName>
    <definedName name="_xlnm.Print_Titles" localSheetId="3">mT!$1:$19</definedName>
    <definedName name="Triplex">Sheet2!$B$2:$B$7</definedName>
    <definedName name="Z_ADCFDDAA_AF71_42CE_8FD7_7ABB67CB940B_.wvu.Cols" localSheetId="1" hidden="1">BT!$F:$F,BT!$I:$I,BT!$M:$N,BT!$S:$S,BT!$U:$U,BT!$W:$AH</definedName>
    <definedName name="Z_ADCFDDAA_AF71_42CE_8FD7_7ABB67CB940B_.wvu.Cols" localSheetId="2" hidden="1">'BT-MX'!$F:$F,'BT-MX'!$I:$I,'BT-MX'!$M:$M,'BT-MX'!$R:$S,'BT-MX'!$U:$X,'BT-MX'!$Z:$AV</definedName>
    <definedName name="Z_ADCFDDAA_AF71_42CE_8FD7_7ABB67CB940B_.wvu.Cols" localSheetId="5" hidden="1">'Características dos Cabos'!$D:$D</definedName>
    <definedName name="Z_ADCFDDAA_AF71_42CE_8FD7_7ABB67CB940B_.wvu.Cols" localSheetId="6" hidden="1">'Características dos Cabos MX'!$C:$C</definedName>
    <definedName name="Z_ADCFDDAA_AF71_42CE_8FD7_7ABB67CB940B_.wvu.Cols" localSheetId="4" hidden="1">'K% (Rede Convencional)'!$B:$B</definedName>
    <definedName name="Z_ADCFDDAA_AF71_42CE_8FD7_7ABB67CB940B_.wvu.Cols" localSheetId="3" hidden="1">mT!$F:$F,mT!$I:$J,mT!$N:$O,mT!$T:$V,mT!$X:$Z,mT!$AB:$AK</definedName>
    <definedName name="Z_ADCFDDAA_AF71_42CE_8FD7_7ABB67CB940B_.wvu.PrintArea" localSheetId="1" hidden="1">BT!$A$1:$V$194</definedName>
    <definedName name="Z_ADCFDDAA_AF71_42CE_8FD7_7ABB67CB940B_.wvu.PrintArea" localSheetId="2" hidden="1">'BT-MX'!$A$1:$Y$195</definedName>
    <definedName name="Z_ADCFDDAA_AF71_42CE_8FD7_7ABB67CB940B_.wvu.PrintArea" localSheetId="0" hidden="1">Capa!$A$1:$Q$43</definedName>
    <definedName name="Z_ADCFDDAA_AF71_42CE_8FD7_7ABB67CB940B_.wvu.PrintArea" localSheetId="5" hidden="1">'Características dos Cabos'!$A$1:$L$30</definedName>
    <definedName name="Z_ADCFDDAA_AF71_42CE_8FD7_7ABB67CB940B_.wvu.PrintArea" localSheetId="6" hidden="1">'Características dos Cabos MX'!$A$1:$L$27</definedName>
    <definedName name="Z_ADCFDDAA_AF71_42CE_8FD7_7ABB67CB940B_.wvu.PrintArea" localSheetId="7" hidden="1">e.e.!$A$1:$O$45</definedName>
    <definedName name="Z_ADCFDDAA_AF71_42CE_8FD7_7ABB67CB940B_.wvu.PrintArea" localSheetId="8" hidden="1">Fórmulas!$A$1:$N$27</definedName>
    <definedName name="Z_ADCFDDAA_AF71_42CE_8FD7_7ABB67CB940B_.wvu.PrintArea" localSheetId="4" hidden="1">'K% (Rede Convencional)'!$A$1:$M$30</definedName>
    <definedName name="Z_ADCFDDAA_AF71_42CE_8FD7_7ABB67CB940B_.wvu.PrintArea" localSheetId="3" hidden="1">mT!$A$1:$AA$76</definedName>
    <definedName name="Z_ADCFDDAA_AF71_42CE_8FD7_7ABB67CB940B_.wvu.PrintTitles" localSheetId="1" hidden="1">BT!$1:$19</definedName>
    <definedName name="Z_ADCFDDAA_AF71_42CE_8FD7_7ABB67CB940B_.wvu.PrintTitles" localSheetId="2" hidden="1">'BT-MX'!$1:$18</definedName>
    <definedName name="Z_ADCFDDAA_AF71_42CE_8FD7_7ABB67CB940B_.wvu.PrintTitles" localSheetId="3" hidden="1">mT!$1:$19</definedName>
  </definedNames>
  <calcPr calcId="162913"/>
  <customWorkbookViews>
    <customWorkbookView name="Carlos Henrique Da Silva Vieira - Modo de exibição pessoal" guid="{ADCFDDAA-AF71-42CE-8FD7-7ABB67CB940B}" mergeInterval="0" personalView="1" maximized="1" windowWidth="1276" windowHeight="585" tabRatio="826" activeSheetId="1" showObjects="placeholders"/>
  </customWorkbookViews>
</workbook>
</file>

<file path=xl/calcChain.xml><?xml version="1.0" encoding="utf-8"?>
<calcChain xmlns="http://schemas.openxmlformats.org/spreadsheetml/2006/main">
  <c r="D15" i="3" l="1"/>
  <c r="D13" i="3"/>
  <c r="Q4" i="3"/>
  <c r="AF45" i="3" l="1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N6" i="7" l="1"/>
  <c r="J18" i="7" s="1"/>
  <c r="D9" i="5"/>
  <c r="I14" i="7" l="1"/>
  <c r="K26" i="7"/>
  <c r="I12" i="7"/>
  <c r="I13" i="7"/>
  <c r="K27" i="7"/>
  <c r="J20" i="7"/>
  <c r="K23" i="7"/>
  <c r="J17" i="7"/>
  <c r="K24" i="7"/>
  <c r="J16" i="7"/>
  <c r="K21" i="7"/>
  <c r="K25" i="7"/>
  <c r="J15" i="7"/>
  <c r="J19" i="7"/>
  <c r="K22" i="7"/>
  <c r="N7" i="7"/>
  <c r="M12" i="5"/>
  <c r="M9" i="5"/>
  <c r="J12" i="5"/>
  <c r="J9" i="5"/>
  <c r="M29" i="3" l="1"/>
  <c r="S29" i="3" s="1"/>
  <c r="AF29" i="3"/>
  <c r="AC29" i="3"/>
  <c r="AC30" i="3"/>
  <c r="AC31" i="3"/>
  <c r="AB29" i="3"/>
  <c r="AA29" i="3"/>
  <c r="AA30" i="3"/>
  <c r="AA31" i="3"/>
  <c r="U29" i="3"/>
  <c r="V29" i="3"/>
  <c r="L29" i="3" l="1"/>
  <c r="R29" i="3"/>
  <c r="F177" i="3" l="1"/>
  <c r="F149" i="3"/>
  <c r="F134" i="3"/>
  <c r="F92" i="3"/>
  <c r="F77" i="3"/>
  <c r="H31" i="3"/>
  <c r="AE32" i="3"/>
  <c r="AF32" i="3"/>
  <c r="M195" i="3"/>
  <c r="V195" i="3"/>
  <c r="U195" i="3"/>
  <c r="S195" i="3"/>
  <c r="R195" i="3"/>
  <c r="V194" i="3"/>
  <c r="U194" i="3"/>
  <c r="S194" i="3"/>
  <c r="R194" i="3"/>
  <c r="V193" i="3"/>
  <c r="U193" i="3"/>
  <c r="S193" i="3"/>
  <c r="R193" i="3"/>
  <c r="V192" i="3"/>
  <c r="U192" i="3"/>
  <c r="S192" i="3"/>
  <c r="R192" i="3"/>
  <c r="V191" i="3"/>
  <c r="U191" i="3"/>
  <c r="S191" i="3"/>
  <c r="R191" i="3"/>
  <c r="V190" i="3"/>
  <c r="U190" i="3"/>
  <c r="S190" i="3"/>
  <c r="R190" i="3"/>
  <c r="V189" i="3"/>
  <c r="U189" i="3"/>
  <c r="S189" i="3"/>
  <c r="R189" i="3"/>
  <c r="V188" i="3"/>
  <c r="U188" i="3"/>
  <c r="S188" i="3"/>
  <c r="R188" i="3"/>
  <c r="V187" i="3"/>
  <c r="U187" i="3"/>
  <c r="S187" i="3"/>
  <c r="R187" i="3"/>
  <c r="V186" i="3"/>
  <c r="U186" i="3"/>
  <c r="S186" i="3"/>
  <c r="R186" i="3"/>
  <c r="V185" i="3"/>
  <c r="U185" i="3"/>
  <c r="S185" i="3"/>
  <c r="R185" i="3"/>
  <c r="V184" i="3"/>
  <c r="U184" i="3"/>
  <c r="S184" i="3"/>
  <c r="R184" i="3"/>
  <c r="V183" i="3"/>
  <c r="U183" i="3"/>
  <c r="S183" i="3"/>
  <c r="R183" i="3"/>
  <c r="V182" i="3"/>
  <c r="U182" i="3"/>
  <c r="S182" i="3"/>
  <c r="R182" i="3"/>
  <c r="V181" i="3"/>
  <c r="U181" i="3"/>
  <c r="S181" i="3"/>
  <c r="R181" i="3"/>
  <c r="V180" i="3"/>
  <c r="U180" i="3"/>
  <c r="S180" i="3"/>
  <c r="R180" i="3"/>
  <c r="V179" i="3"/>
  <c r="U179" i="3"/>
  <c r="S179" i="3"/>
  <c r="R179" i="3"/>
  <c r="V178" i="3"/>
  <c r="U178" i="3"/>
  <c r="S178" i="3"/>
  <c r="R178" i="3"/>
  <c r="V177" i="3"/>
  <c r="U177" i="3"/>
  <c r="S177" i="3"/>
  <c r="R177" i="3"/>
  <c r="V176" i="3"/>
  <c r="U176" i="3"/>
  <c r="S176" i="3"/>
  <c r="R176" i="3"/>
  <c r="V175" i="3"/>
  <c r="U175" i="3"/>
  <c r="S175" i="3"/>
  <c r="R175" i="3"/>
  <c r="V174" i="3"/>
  <c r="U174" i="3"/>
  <c r="S174" i="3"/>
  <c r="R174" i="3"/>
  <c r="V173" i="3"/>
  <c r="U173" i="3"/>
  <c r="S173" i="3"/>
  <c r="R173" i="3"/>
  <c r="V172" i="3"/>
  <c r="U172" i="3"/>
  <c r="S172" i="3"/>
  <c r="R172" i="3"/>
  <c r="V171" i="3"/>
  <c r="U171" i="3"/>
  <c r="S171" i="3"/>
  <c r="R171" i="3"/>
  <c r="V170" i="3"/>
  <c r="U170" i="3"/>
  <c r="S170" i="3"/>
  <c r="R170" i="3"/>
  <c r="V169" i="3"/>
  <c r="U169" i="3"/>
  <c r="S169" i="3"/>
  <c r="R169" i="3"/>
  <c r="V168" i="3"/>
  <c r="U168" i="3"/>
  <c r="S168" i="3"/>
  <c r="R168" i="3"/>
  <c r="V167" i="3"/>
  <c r="U167" i="3"/>
  <c r="S167" i="3"/>
  <c r="R167" i="3"/>
  <c r="V166" i="3"/>
  <c r="U166" i="3"/>
  <c r="S166" i="3"/>
  <c r="R166" i="3"/>
  <c r="V165" i="3"/>
  <c r="U165" i="3"/>
  <c r="S165" i="3"/>
  <c r="R165" i="3"/>
  <c r="V164" i="3"/>
  <c r="U164" i="3"/>
  <c r="S164" i="3"/>
  <c r="R164" i="3"/>
  <c r="V163" i="3"/>
  <c r="U163" i="3"/>
  <c r="S163" i="3"/>
  <c r="R163" i="3"/>
  <c r="V162" i="3"/>
  <c r="U162" i="3"/>
  <c r="S162" i="3"/>
  <c r="R162" i="3"/>
  <c r="V161" i="3"/>
  <c r="U161" i="3"/>
  <c r="S161" i="3"/>
  <c r="R161" i="3"/>
  <c r="V160" i="3"/>
  <c r="U160" i="3"/>
  <c r="S160" i="3"/>
  <c r="R160" i="3"/>
  <c r="V159" i="3"/>
  <c r="U159" i="3"/>
  <c r="S159" i="3"/>
  <c r="R159" i="3"/>
  <c r="V158" i="3"/>
  <c r="U158" i="3"/>
  <c r="S158" i="3"/>
  <c r="R158" i="3"/>
  <c r="V157" i="3"/>
  <c r="U157" i="3"/>
  <c r="S157" i="3"/>
  <c r="R157" i="3"/>
  <c r="V156" i="3"/>
  <c r="U156" i="3"/>
  <c r="S156" i="3"/>
  <c r="R156" i="3"/>
  <c r="V155" i="3"/>
  <c r="U155" i="3"/>
  <c r="S155" i="3"/>
  <c r="R155" i="3"/>
  <c r="V154" i="3"/>
  <c r="U154" i="3"/>
  <c r="S154" i="3"/>
  <c r="R154" i="3"/>
  <c r="V153" i="3"/>
  <c r="U153" i="3"/>
  <c r="S153" i="3"/>
  <c r="R153" i="3"/>
  <c r="V152" i="3"/>
  <c r="U152" i="3"/>
  <c r="S152" i="3"/>
  <c r="R152" i="3"/>
  <c r="V151" i="3"/>
  <c r="U151" i="3"/>
  <c r="S151" i="3"/>
  <c r="R151" i="3"/>
  <c r="V150" i="3"/>
  <c r="U150" i="3"/>
  <c r="S150" i="3"/>
  <c r="R150" i="3"/>
  <c r="V149" i="3"/>
  <c r="U149" i="3"/>
  <c r="S149" i="3"/>
  <c r="R149" i="3"/>
  <c r="V148" i="3"/>
  <c r="U148" i="3"/>
  <c r="S148" i="3"/>
  <c r="R148" i="3"/>
  <c r="V147" i="3"/>
  <c r="U147" i="3"/>
  <c r="S147" i="3"/>
  <c r="R147" i="3"/>
  <c r="V146" i="3"/>
  <c r="U146" i="3"/>
  <c r="S146" i="3"/>
  <c r="R146" i="3"/>
  <c r="V145" i="3"/>
  <c r="U145" i="3"/>
  <c r="S145" i="3"/>
  <c r="R145" i="3"/>
  <c r="V144" i="3"/>
  <c r="U144" i="3"/>
  <c r="S144" i="3"/>
  <c r="R144" i="3"/>
  <c r="V143" i="3"/>
  <c r="U143" i="3"/>
  <c r="S143" i="3"/>
  <c r="R143" i="3"/>
  <c r="V142" i="3"/>
  <c r="U142" i="3"/>
  <c r="S142" i="3"/>
  <c r="R142" i="3"/>
  <c r="V141" i="3"/>
  <c r="U141" i="3"/>
  <c r="S141" i="3"/>
  <c r="R141" i="3"/>
  <c r="V140" i="3"/>
  <c r="U140" i="3"/>
  <c r="S140" i="3"/>
  <c r="R140" i="3"/>
  <c r="V139" i="3"/>
  <c r="U139" i="3"/>
  <c r="S139" i="3"/>
  <c r="R139" i="3"/>
  <c r="V138" i="3"/>
  <c r="U138" i="3"/>
  <c r="S138" i="3"/>
  <c r="R138" i="3"/>
  <c r="V137" i="3"/>
  <c r="U137" i="3"/>
  <c r="S137" i="3"/>
  <c r="R137" i="3"/>
  <c r="V136" i="3"/>
  <c r="U136" i="3"/>
  <c r="S136" i="3"/>
  <c r="R136" i="3"/>
  <c r="V135" i="3"/>
  <c r="U135" i="3"/>
  <c r="S135" i="3"/>
  <c r="R135" i="3"/>
  <c r="V134" i="3"/>
  <c r="U134" i="3"/>
  <c r="S134" i="3"/>
  <c r="R134" i="3"/>
  <c r="V133" i="3"/>
  <c r="U133" i="3"/>
  <c r="S133" i="3"/>
  <c r="R133" i="3"/>
  <c r="V132" i="3"/>
  <c r="U132" i="3"/>
  <c r="S132" i="3"/>
  <c r="R132" i="3"/>
  <c r="V131" i="3"/>
  <c r="U131" i="3"/>
  <c r="S131" i="3"/>
  <c r="R131" i="3"/>
  <c r="V130" i="3"/>
  <c r="U130" i="3"/>
  <c r="S130" i="3"/>
  <c r="R130" i="3"/>
  <c r="V129" i="3"/>
  <c r="U129" i="3"/>
  <c r="S129" i="3"/>
  <c r="R129" i="3"/>
  <c r="V128" i="3"/>
  <c r="U128" i="3"/>
  <c r="S128" i="3"/>
  <c r="R128" i="3"/>
  <c r="V127" i="3"/>
  <c r="U127" i="3"/>
  <c r="S127" i="3"/>
  <c r="R127" i="3"/>
  <c r="V126" i="3"/>
  <c r="U126" i="3"/>
  <c r="S126" i="3"/>
  <c r="R126" i="3"/>
  <c r="V125" i="3"/>
  <c r="U125" i="3"/>
  <c r="S125" i="3"/>
  <c r="R125" i="3"/>
  <c r="V124" i="3"/>
  <c r="U124" i="3"/>
  <c r="S124" i="3"/>
  <c r="R124" i="3"/>
  <c r="V123" i="3"/>
  <c r="U123" i="3"/>
  <c r="S123" i="3"/>
  <c r="R123" i="3"/>
  <c r="V122" i="3"/>
  <c r="U122" i="3"/>
  <c r="S122" i="3"/>
  <c r="R122" i="3"/>
  <c r="V121" i="3"/>
  <c r="U121" i="3"/>
  <c r="S121" i="3"/>
  <c r="R121" i="3"/>
  <c r="V120" i="3"/>
  <c r="U120" i="3"/>
  <c r="S120" i="3"/>
  <c r="R120" i="3"/>
  <c r="V119" i="3"/>
  <c r="U119" i="3"/>
  <c r="S119" i="3"/>
  <c r="R119" i="3"/>
  <c r="V118" i="3"/>
  <c r="U118" i="3"/>
  <c r="S118" i="3"/>
  <c r="R118" i="3"/>
  <c r="V117" i="3"/>
  <c r="U117" i="3"/>
  <c r="S117" i="3"/>
  <c r="R117" i="3"/>
  <c r="V116" i="3"/>
  <c r="U116" i="3"/>
  <c r="S116" i="3"/>
  <c r="R116" i="3"/>
  <c r="V115" i="3"/>
  <c r="U115" i="3"/>
  <c r="S115" i="3"/>
  <c r="R115" i="3"/>
  <c r="V114" i="3"/>
  <c r="U114" i="3"/>
  <c r="S114" i="3"/>
  <c r="R114" i="3"/>
  <c r="V113" i="3"/>
  <c r="U113" i="3"/>
  <c r="S113" i="3"/>
  <c r="R113" i="3"/>
  <c r="V112" i="3"/>
  <c r="U112" i="3"/>
  <c r="S112" i="3"/>
  <c r="R112" i="3"/>
  <c r="V111" i="3"/>
  <c r="U111" i="3"/>
  <c r="S111" i="3"/>
  <c r="R111" i="3"/>
  <c r="V110" i="3"/>
  <c r="U110" i="3"/>
  <c r="S110" i="3"/>
  <c r="R110" i="3"/>
  <c r="V109" i="3"/>
  <c r="U109" i="3"/>
  <c r="S109" i="3"/>
  <c r="R109" i="3"/>
  <c r="V108" i="3"/>
  <c r="U108" i="3"/>
  <c r="S108" i="3"/>
  <c r="R108" i="3"/>
  <c r="V107" i="3"/>
  <c r="U107" i="3"/>
  <c r="S107" i="3"/>
  <c r="R107" i="3"/>
  <c r="V106" i="3"/>
  <c r="U106" i="3"/>
  <c r="S106" i="3"/>
  <c r="R106" i="3"/>
  <c r="V105" i="3"/>
  <c r="U105" i="3"/>
  <c r="S105" i="3"/>
  <c r="R105" i="3"/>
  <c r="V104" i="3"/>
  <c r="U104" i="3"/>
  <c r="S104" i="3"/>
  <c r="R104" i="3"/>
  <c r="V103" i="3"/>
  <c r="U103" i="3"/>
  <c r="S103" i="3"/>
  <c r="R103" i="3"/>
  <c r="V102" i="3"/>
  <c r="U102" i="3"/>
  <c r="S102" i="3"/>
  <c r="R102" i="3"/>
  <c r="V101" i="3"/>
  <c r="U101" i="3"/>
  <c r="S101" i="3"/>
  <c r="R101" i="3"/>
  <c r="V100" i="3"/>
  <c r="U100" i="3"/>
  <c r="S100" i="3"/>
  <c r="R100" i="3"/>
  <c r="V99" i="3"/>
  <c r="U99" i="3"/>
  <c r="S99" i="3"/>
  <c r="R99" i="3"/>
  <c r="V98" i="3"/>
  <c r="U98" i="3"/>
  <c r="S98" i="3"/>
  <c r="R98" i="3"/>
  <c r="V97" i="3"/>
  <c r="U97" i="3"/>
  <c r="S97" i="3"/>
  <c r="R97" i="3"/>
  <c r="V96" i="3"/>
  <c r="U96" i="3"/>
  <c r="S96" i="3"/>
  <c r="R96" i="3"/>
  <c r="V95" i="3"/>
  <c r="U95" i="3"/>
  <c r="S95" i="3"/>
  <c r="R95" i="3"/>
  <c r="V94" i="3"/>
  <c r="U94" i="3"/>
  <c r="S94" i="3"/>
  <c r="R94" i="3"/>
  <c r="V93" i="3"/>
  <c r="U93" i="3"/>
  <c r="S93" i="3"/>
  <c r="R93" i="3"/>
  <c r="V92" i="3"/>
  <c r="U92" i="3"/>
  <c r="S92" i="3"/>
  <c r="R92" i="3"/>
  <c r="V91" i="3"/>
  <c r="U91" i="3"/>
  <c r="S91" i="3"/>
  <c r="R91" i="3"/>
  <c r="V90" i="3"/>
  <c r="U90" i="3"/>
  <c r="S90" i="3"/>
  <c r="R90" i="3"/>
  <c r="V89" i="3"/>
  <c r="U89" i="3"/>
  <c r="S89" i="3"/>
  <c r="R89" i="3"/>
  <c r="V88" i="3"/>
  <c r="U88" i="3"/>
  <c r="S88" i="3"/>
  <c r="R88" i="3"/>
  <c r="V87" i="3"/>
  <c r="U87" i="3"/>
  <c r="S87" i="3"/>
  <c r="R87" i="3"/>
  <c r="V86" i="3"/>
  <c r="U86" i="3"/>
  <c r="S86" i="3"/>
  <c r="R86" i="3"/>
  <c r="V85" i="3"/>
  <c r="U85" i="3"/>
  <c r="S85" i="3"/>
  <c r="R85" i="3"/>
  <c r="V84" i="3"/>
  <c r="U84" i="3"/>
  <c r="S84" i="3"/>
  <c r="R84" i="3"/>
  <c r="V83" i="3"/>
  <c r="U83" i="3"/>
  <c r="S83" i="3"/>
  <c r="R83" i="3"/>
  <c r="V82" i="3"/>
  <c r="U82" i="3"/>
  <c r="S82" i="3"/>
  <c r="R82" i="3"/>
  <c r="V81" i="3"/>
  <c r="U81" i="3"/>
  <c r="S81" i="3"/>
  <c r="R81" i="3"/>
  <c r="V80" i="3"/>
  <c r="U80" i="3"/>
  <c r="S80" i="3"/>
  <c r="R80" i="3"/>
  <c r="V79" i="3"/>
  <c r="U79" i="3"/>
  <c r="S79" i="3"/>
  <c r="R79" i="3"/>
  <c r="V78" i="3"/>
  <c r="U78" i="3"/>
  <c r="S78" i="3"/>
  <c r="R78" i="3"/>
  <c r="V77" i="3"/>
  <c r="U77" i="3"/>
  <c r="S77" i="3"/>
  <c r="R77" i="3"/>
  <c r="V76" i="3"/>
  <c r="U76" i="3"/>
  <c r="S76" i="3"/>
  <c r="R76" i="3"/>
  <c r="V75" i="3"/>
  <c r="U75" i="3"/>
  <c r="S75" i="3"/>
  <c r="R75" i="3"/>
  <c r="V74" i="3"/>
  <c r="U74" i="3"/>
  <c r="S74" i="3"/>
  <c r="R74" i="3"/>
  <c r="V73" i="3"/>
  <c r="U73" i="3"/>
  <c r="S73" i="3"/>
  <c r="R73" i="3"/>
  <c r="V72" i="3"/>
  <c r="U72" i="3"/>
  <c r="S72" i="3"/>
  <c r="R72" i="3"/>
  <c r="U71" i="3"/>
  <c r="S71" i="3"/>
  <c r="S70" i="3"/>
  <c r="U68" i="3"/>
  <c r="S67" i="3"/>
  <c r="V65" i="3"/>
  <c r="U65" i="3"/>
  <c r="S65" i="3"/>
  <c r="R65" i="3"/>
  <c r="V64" i="3"/>
  <c r="U64" i="3"/>
  <c r="S64" i="3"/>
  <c r="R64" i="3"/>
  <c r="V63" i="3"/>
  <c r="U63" i="3"/>
  <c r="S63" i="3"/>
  <c r="R63" i="3"/>
  <c r="V62" i="3"/>
  <c r="U62" i="3"/>
  <c r="S62" i="3"/>
  <c r="R62" i="3"/>
  <c r="R60" i="3"/>
  <c r="V55" i="3"/>
  <c r="U55" i="3"/>
  <c r="S55" i="3"/>
  <c r="R55" i="3"/>
  <c r="V54" i="3"/>
  <c r="U54" i="3"/>
  <c r="S54" i="3"/>
  <c r="R54" i="3"/>
  <c r="V53" i="3"/>
  <c r="U53" i="3"/>
  <c r="S53" i="3"/>
  <c r="R53" i="3"/>
  <c r="V52" i="3"/>
  <c r="U52" i="3"/>
  <c r="S52" i="3"/>
  <c r="R52" i="3"/>
  <c r="R51" i="3"/>
  <c r="U50" i="3"/>
  <c r="R50" i="3"/>
  <c r="M46" i="3"/>
  <c r="R46" i="3" s="1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7" i="3"/>
  <c r="L65" i="3"/>
  <c r="L64" i="3"/>
  <c r="L63" i="3"/>
  <c r="L62" i="3"/>
  <c r="L55" i="3"/>
  <c r="L54" i="3"/>
  <c r="L53" i="3"/>
  <c r="L52" i="3"/>
  <c r="L50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V71" i="3"/>
  <c r="M70" i="3"/>
  <c r="V70" i="3"/>
  <c r="M69" i="3"/>
  <c r="V69" i="3"/>
  <c r="M68" i="3"/>
  <c r="S68" i="3" s="1"/>
  <c r="V68" i="3"/>
  <c r="M67" i="3"/>
  <c r="U67" i="3" s="1"/>
  <c r="M66" i="3"/>
  <c r="R66" i="3" s="1"/>
  <c r="M65" i="3"/>
  <c r="M64" i="3"/>
  <c r="M63" i="3"/>
  <c r="M62" i="3"/>
  <c r="M61" i="3"/>
  <c r="S61" i="3" s="1"/>
  <c r="M60" i="3"/>
  <c r="S60" i="3" s="1"/>
  <c r="V60" i="3"/>
  <c r="M59" i="3"/>
  <c r="S59" i="3" s="1"/>
  <c r="V59" i="3"/>
  <c r="M58" i="3"/>
  <c r="R58" i="3" s="1"/>
  <c r="M57" i="3"/>
  <c r="R57" i="3" s="1"/>
  <c r="M56" i="3"/>
  <c r="R56" i="3" s="1"/>
  <c r="M55" i="3"/>
  <c r="M54" i="3"/>
  <c r="M53" i="3"/>
  <c r="M52" i="3"/>
  <c r="M51" i="3"/>
  <c r="S51" i="3" s="1"/>
  <c r="M50" i="3"/>
  <c r="S50" i="3" s="1"/>
  <c r="M49" i="3"/>
  <c r="S49" i="3" s="1"/>
  <c r="M48" i="3"/>
  <c r="R48" i="3" s="1"/>
  <c r="M47" i="3"/>
  <c r="R47" i="3" s="1"/>
  <c r="L60" i="3"/>
  <c r="U60" i="3"/>
  <c r="L59" i="3"/>
  <c r="U59" i="3"/>
  <c r="R59" i="3"/>
  <c r="S69" i="3"/>
  <c r="L69" i="3"/>
  <c r="R67" i="3"/>
  <c r="R69" i="3"/>
  <c r="R70" i="3"/>
  <c r="R71" i="3"/>
  <c r="U69" i="3"/>
  <c r="U70" i="3"/>
  <c r="L68" i="3"/>
  <c r="V58" i="3"/>
  <c r="V44" i="3"/>
  <c r="R43" i="3"/>
  <c r="M28" i="3"/>
  <c r="U28" i="3" s="1"/>
  <c r="M44" i="3"/>
  <c r="U44" i="3" s="1"/>
  <c r="M43" i="3"/>
  <c r="U43" i="3" s="1"/>
  <c r="M42" i="3"/>
  <c r="V42" i="3" s="1"/>
  <c r="M41" i="3"/>
  <c r="U41" i="3" s="1"/>
  <c r="M40" i="3"/>
  <c r="R40" i="3" s="1"/>
  <c r="M39" i="3"/>
  <c r="R39" i="3" s="1"/>
  <c r="M38" i="3"/>
  <c r="R38" i="3" s="1"/>
  <c r="M37" i="3"/>
  <c r="L37" i="3" s="1"/>
  <c r="M36" i="3"/>
  <c r="S36" i="3" s="1"/>
  <c r="M35" i="3"/>
  <c r="S35" i="3" s="1"/>
  <c r="M34" i="3"/>
  <c r="L34" i="3" s="1"/>
  <c r="M33" i="3"/>
  <c r="L33" i="3" s="1"/>
  <c r="M31" i="3"/>
  <c r="U31" i="3" s="1"/>
  <c r="M30" i="3"/>
  <c r="L30" i="3" s="1"/>
  <c r="M27" i="3"/>
  <c r="V27" i="3"/>
  <c r="M26" i="3"/>
  <c r="S26" i="3" s="1"/>
  <c r="M25" i="3"/>
  <c r="S25" i="3"/>
  <c r="M24" i="3"/>
  <c r="V24" i="3" s="1"/>
  <c r="M23" i="3"/>
  <c r="U23" i="3" s="1"/>
  <c r="M22" i="3"/>
  <c r="S22" i="3" s="1"/>
  <c r="M21" i="3"/>
  <c r="L21" i="3" s="1"/>
  <c r="M20" i="3"/>
  <c r="S20" i="3" s="1"/>
  <c r="S28" i="3"/>
  <c r="R27" i="3"/>
  <c r="S27" i="3"/>
  <c r="L40" i="3"/>
  <c r="R41" i="3"/>
  <c r="L35" i="3"/>
  <c r="U27" i="3"/>
  <c r="L27" i="3"/>
  <c r="V25" i="3"/>
  <c r="L25" i="3"/>
  <c r="U25" i="3"/>
  <c r="R25" i="3"/>
  <c r="B64" i="11"/>
  <c r="B63" i="11"/>
  <c r="B62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17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2" i="11"/>
  <c r="E63" i="11"/>
  <c r="E64" i="11"/>
  <c r="E16" i="11"/>
  <c r="B186" i="3"/>
  <c r="B176" i="3"/>
  <c r="B166" i="3"/>
  <c r="B156" i="3"/>
  <c r="B146" i="3"/>
  <c r="B136" i="3"/>
  <c r="B126" i="3"/>
  <c r="B116" i="3"/>
  <c r="B106" i="3"/>
  <c r="B96" i="3"/>
  <c r="B86" i="3"/>
  <c r="B76" i="3"/>
  <c r="B66" i="3"/>
  <c r="B56" i="3"/>
  <c r="B46" i="3"/>
  <c r="B45" i="2"/>
  <c r="B55" i="2"/>
  <c r="B185" i="2"/>
  <c r="B175" i="2"/>
  <c r="B165" i="2"/>
  <c r="B155" i="2"/>
  <c r="B145" i="2"/>
  <c r="B135" i="2"/>
  <c r="B125" i="2"/>
  <c r="B115" i="2"/>
  <c r="B105" i="2"/>
  <c r="B95" i="2"/>
  <c r="B85" i="2"/>
  <c r="B75" i="2"/>
  <c r="B65" i="2"/>
  <c r="K14" i="4"/>
  <c r="F20" i="4"/>
  <c r="U20" i="4"/>
  <c r="AC20" i="4"/>
  <c r="AD20" i="4"/>
  <c r="AE20" i="4"/>
  <c r="F21" i="4"/>
  <c r="AC21" i="4"/>
  <c r="AD21" i="4"/>
  <c r="AE21" i="4"/>
  <c r="F22" i="4"/>
  <c r="AC22" i="4"/>
  <c r="AD22" i="4"/>
  <c r="AE22" i="4"/>
  <c r="M16" i="4"/>
  <c r="F23" i="4"/>
  <c r="AC23" i="4"/>
  <c r="AD23" i="4"/>
  <c r="AE23" i="4"/>
  <c r="F24" i="4"/>
  <c r="H24" i="4"/>
  <c r="S24" i="4" s="1"/>
  <c r="I24" i="4"/>
  <c r="J24" i="4"/>
  <c r="K24" i="4" s="1"/>
  <c r="Q24" i="4" s="1"/>
  <c r="R24" i="4" s="1"/>
  <c r="N24" i="4"/>
  <c r="O24" i="4"/>
  <c r="AC24" i="4"/>
  <c r="AD24" i="4"/>
  <c r="AE24" i="4"/>
  <c r="F25" i="4"/>
  <c r="H21" i="4"/>
  <c r="S21" i="4"/>
  <c r="W21" i="4" s="1"/>
  <c r="H25" i="4"/>
  <c r="S25" i="4" s="1"/>
  <c r="I25" i="4"/>
  <c r="J25" i="4"/>
  <c r="K25" i="4" s="1"/>
  <c r="Q25" i="4" s="1"/>
  <c r="R25" i="4" s="1"/>
  <c r="N25" i="4"/>
  <c r="T25" i="4" s="1"/>
  <c r="W25" i="4" s="1"/>
  <c r="O25" i="4"/>
  <c r="AC25" i="4"/>
  <c r="AD25" i="4"/>
  <c r="AE25" i="4"/>
  <c r="F26" i="4"/>
  <c r="H26" i="4"/>
  <c r="S26" i="4"/>
  <c r="I26" i="4"/>
  <c r="J26" i="4"/>
  <c r="N26" i="4"/>
  <c r="O26" i="4"/>
  <c r="AC26" i="4"/>
  <c r="AD26" i="4"/>
  <c r="AE26" i="4"/>
  <c r="F27" i="4"/>
  <c r="H27" i="4"/>
  <c r="S27" i="4" s="1"/>
  <c r="I27" i="4"/>
  <c r="J27" i="4"/>
  <c r="K27" i="4" s="1"/>
  <c r="N27" i="4"/>
  <c r="O27" i="4"/>
  <c r="AC27" i="4"/>
  <c r="AD27" i="4"/>
  <c r="AE27" i="4"/>
  <c r="F28" i="4"/>
  <c r="H28" i="4"/>
  <c r="I28" i="4"/>
  <c r="J28" i="4"/>
  <c r="N28" i="4"/>
  <c r="O28" i="4"/>
  <c r="AC28" i="4"/>
  <c r="AD28" i="4"/>
  <c r="AE28" i="4"/>
  <c r="F29" i="4"/>
  <c r="H29" i="4"/>
  <c r="S29" i="4"/>
  <c r="I29" i="4"/>
  <c r="J29" i="4"/>
  <c r="N29" i="4"/>
  <c r="O29" i="4"/>
  <c r="Y29" i="4" s="1"/>
  <c r="AC29" i="4"/>
  <c r="AD29" i="4"/>
  <c r="AE29" i="4"/>
  <c r="F30" i="4"/>
  <c r="H30" i="4"/>
  <c r="I30" i="4"/>
  <c r="J30" i="4"/>
  <c r="N30" i="4"/>
  <c r="O30" i="4"/>
  <c r="AC30" i="4"/>
  <c r="AD30" i="4"/>
  <c r="AE30" i="4"/>
  <c r="F31" i="4"/>
  <c r="H31" i="4"/>
  <c r="S31" i="4" s="1"/>
  <c r="I31" i="4"/>
  <c r="J31" i="4"/>
  <c r="N31" i="4"/>
  <c r="O31" i="4"/>
  <c r="AC31" i="4"/>
  <c r="AD31" i="4"/>
  <c r="AE31" i="4"/>
  <c r="F32" i="4"/>
  <c r="H32" i="4"/>
  <c r="S32" i="4" s="1"/>
  <c r="I32" i="4"/>
  <c r="J32" i="4"/>
  <c r="N32" i="4"/>
  <c r="O32" i="4"/>
  <c r="X32" i="4" s="1"/>
  <c r="AC32" i="4"/>
  <c r="AD32" i="4"/>
  <c r="AE32" i="4"/>
  <c r="F33" i="4"/>
  <c r="H33" i="4"/>
  <c r="S33" i="4" s="1"/>
  <c r="I33" i="4"/>
  <c r="J33" i="4"/>
  <c r="N33" i="4"/>
  <c r="O33" i="4"/>
  <c r="T33" i="4" s="1"/>
  <c r="AC33" i="4"/>
  <c r="AD33" i="4"/>
  <c r="AE33" i="4"/>
  <c r="F34" i="4"/>
  <c r="H34" i="4"/>
  <c r="AA34" i="4" s="1"/>
  <c r="I34" i="4"/>
  <c r="J34" i="4"/>
  <c r="N34" i="4"/>
  <c r="O34" i="4"/>
  <c r="AC34" i="4"/>
  <c r="AD34" i="4"/>
  <c r="AE34" i="4"/>
  <c r="F35" i="4"/>
  <c r="H35" i="4"/>
  <c r="I35" i="4"/>
  <c r="J35" i="4"/>
  <c r="T35" i="4"/>
  <c r="U35" i="4"/>
  <c r="X35" i="4"/>
  <c r="Y35" i="4"/>
  <c r="AC35" i="4"/>
  <c r="AD35" i="4"/>
  <c r="AE35" i="4"/>
  <c r="H37" i="4"/>
  <c r="S37" i="4" s="1"/>
  <c r="I37" i="4"/>
  <c r="J37" i="4"/>
  <c r="T37" i="4"/>
  <c r="U37" i="4"/>
  <c r="X37" i="4"/>
  <c r="Y37" i="4"/>
  <c r="AB37" i="4"/>
  <c r="AC37" i="4"/>
  <c r="AD37" i="4"/>
  <c r="H38" i="4"/>
  <c r="S38" i="4"/>
  <c r="I38" i="4"/>
  <c r="J38" i="4"/>
  <c r="T38" i="4"/>
  <c r="U38" i="4"/>
  <c r="V38" i="4" s="1"/>
  <c r="X38" i="4"/>
  <c r="Z38" i="4" s="1"/>
  <c r="Y38" i="4"/>
  <c r="AC38" i="4"/>
  <c r="AD38" i="4"/>
  <c r="H39" i="4"/>
  <c r="AA39" i="4" s="1"/>
  <c r="I39" i="4"/>
  <c r="J39" i="4"/>
  <c r="X39" i="4"/>
  <c r="Z39" i="4" s="1"/>
  <c r="Y39" i="4"/>
  <c r="AC39" i="4"/>
  <c r="AD39" i="4"/>
  <c r="H40" i="4"/>
  <c r="S40" i="4" s="1"/>
  <c r="I40" i="4"/>
  <c r="J40" i="4"/>
  <c r="K40" i="4" s="1"/>
  <c r="N40" i="4"/>
  <c r="X40" i="4" s="1"/>
  <c r="O40" i="4"/>
  <c r="AC40" i="4"/>
  <c r="AD40" i="4"/>
  <c r="H41" i="4"/>
  <c r="I41" i="4"/>
  <c r="J41" i="4"/>
  <c r="N41" i="4"/>
  <c r="AA41" i="4" s="1"/>
  <c r="O41" i="4"/>
  <c r="AB41" i="4"/>
  <c r="AC41" i="4"/>
  <c r="AD41" i="4"/>
  <c r="H42" i="4"/>
  <c r="S42" i="4" s="1"/>
  <c r="I42" i="4"/>
  <c r="J42" i="4"/>
  <c r="N42" i="4"/>
  <c r="T42" i="4" s="1"/>
  <c r="O42" i="4"/>
  <c r="AC42" i="4"/>
  <c r="AD42" i="4"/>
  <c r="H43" i="4"/>
  <c r="S43" i="4" s="1"/>
  <c r="I43" i="4"/>
  <c r="J43" i="4"/>
  <c r="K43" i="4" s="1"/>
  <c r="N43" i="4"/>
  <c r="O43" i="4"/>
  <c r="AC43" i="4"/>
  <c r="AD43" i="4"/>
  <c r="H44" i="4"/>
  <c r="I44" i="4"/>
  <c r="J44" i="4"/>
  <c r="N44" i="4"/>
  <c r="O44" i="4"/>
  <c r="AC44" i="4"/>
  <c r="AD44" i="4"/>
  <c r="H45" i="4"/>
  <c r="I45" i="4"/>
  <c r="J45" i="4"/>
  <c r="N45" i="4"/>
  <c r="O45" i="4"/>
  <c r="AB45" i="4"/>
  <c r="AC45" i="4"/>
  <c r="AD45" i="4"/>
  <c r="H46" i="4"/>
  <c r="S46" i="4" s="1"/>
  <c r="I46" i="4"/>
  <c r="J46" i="4"/>
  <c r="N46" i="4"/>
  <c r="O46" i="4"/>
  <c r="AC46" i="4"/>
  <c r="AD46" i="4"/>
  <c r="H47" i="4"/>
  <c r="I47" i="4"/>
  <c r="J47" i="4"/>
  <c r="T47" i="4"/>
  <c r="U47" i="4"/>
  <c r="X47" i="4"/>
  <c r="Y47" i="4"/>
  <c r="AC47" i="4"/>
  <c r="AD47" i="4"/>
  <c r="H48" i="4"/>
  <c r="I48" i="4"/>
  <c r="J48" i="4"/>
  <c r="X48" i="4"/>
  <c r="Y48" i="4"/>
  <c r="AC48" i="4"/>
  <c r="AD48" i="4"/>
  <c r="F49" i="4"/>
  <c r="H49" i="4"/>
  <c r="I49" i="4"/>
  <c r="J49" i="4"/>
  <c r="N49" i="4"/>
  <c r="O49" i="4"/>
  <c r="U48" i="4" s="1"/>
  <c r="AB49" i="4"/>
  <c r="AC49" i="4"/>
  <c r="AD49" i="4"/>
  <c r="F50" i="4"/>
  <c r="H50" i="4"/>
  <c r="S50" i="4" s="1"/>
  <c r="I50" i="4"/>
  <c r="J50" i="4"/>
  <c r="N50" i="4"/>
  <c r="O50" i="4"/>
  <c r="Y50" i="4" s="1"/>
  <c r="AC50" i="4"/>
  <c r="AD50" i="4"/>
  <c r="F51" i="4"/>
  <c r="H51" i="4"/>
  <c r="I51" i="4"/>
  <c r="J51" i="4"/>
  <c r="N51" i="4"/>
  <c r="O51" i="4"/>
  <c r="AC51" i="4"/>
  <c r="AD51" i="4"/>
  <c r="F52" i="4"/>
  <c r="H52" i="4"/>
  <c r="S52" i="4" s="1"/>
  <c r="I52" i="4"/>
  <c r="J52" i="4"/>
  <c r="N52" i="4"/>
  <c r="O52" i="4"/>
  <c r="U52" i="4" s="1"/>
  <c r="AC52" i="4"/>
  <c r="AD52" i="4"/>
  <c r="F53" i="4"/>
  <c r="H53" i="4"/>
  <c r="S53" i="4" s="1"/>
  <c r="I53" i="4"/>
  <c r="J53" i="4"/>
  <c r="N53" i="4"/>
  <c r="O53" i="4"/>
  <c r="AB53" i="4"/>
  <c r="AC53" i="4"/>
  <c r="AD53" i="4"/>
  <c r="F54" i="4"/>
  <c r="H54" i="4"/>
  <c r="I54" i="4"/>
  <c r="J54" i="4"/>
  <c r="N54" i="4"/>
  <c r="O54" i="4"/>
  <c r="Y54" i="4" s="1"/>
  <c r="AC54" i="4"/>
  <c r="AD54" i="4"/>
  <c r="F55" i="4"/>
  <c r="H55" i="4"/>
  <c r="S55" i="4" s="1"/>
  <c r="I55" i="4"/>
  <c r="J55" i="4"/>
  <c r="N55" i="4"/>
  <c r="O55" i="4"/>
  <c r="Y55" i="4" s="1"/>
  <c r="AC55" i="4"/>
  <c r="AD55" i="4"/>
  <c r="F56" i="4"/>
  <c r="H56" i="4"/>
  <c r="S56" i="4" s="1"/>
  <c r="I56" i="4"/>
  <c r="J56" i="4"/>
  <c r="N56" i="4"/>
  <c r="U56" i="4" s="1"/>
  <c r="O56" i="4"/>
  <c r="AC56" i="4"/>
  <c r="AD56" i="4"/>
  <c r="F57" i="4"/>
  <c r="H57" i="4"/>
  <c r="S57" i="4" s="1"/>
  <c r="I57" i="4"/>
  <c r="J57" i="4"/>
  <c r="N57" i="4"/>
  <c r="Y57" i="4" s="1"/>
  <c r="O57" i="4"/>
  <c r="AB57" i="4"/>
  <c r="AC57" i="4"/>
  <c r="AD57" i="4"/>
  <c r="F58" i="4"/>
  <c r="H58" i="4"/>
  <c r="I58" i="4"/>
  <c r="J58" i="4"/>
  <c r="N58" i="4"/>
  <c r="O58" i="4"/>
  <c r="AC58" i="4"/>
  <c r="AD58" i="4"/>
  <c r="F59" i="4"/>
  <c r="H59" i="4"/>
  <c r="I59" i="4"/>
  <c r="J59" i="4"/>
  <c r="N59" i="4"/>
  <c r="O59" i="4"/>
  <c r="AC59" i="4"/>
  <c r="AD59" i="4"/>
  <c r="F60" i="4"/>
  <c r="H60" i="4"/>
  <c r="S60" i="4"/>
  <c r="I60" i="4"/>
  <c r="J60" i="4"/>
  <c r="N60" i="4"/>
  <c r="O60" i="4"/>
  <c r="AC60" i="4"/>
  <c r="AD60" i="4"/>
  <c r="F61" i="4"/>
  <c r="H61" i="4"/>
  <c r="I61" i="4"/>
  <c r="K61" i="4" s="1"/>
  <c r="Q61" i="4" s="1"/>
  <c r="R61" i="4" s="1"/>
  <c r="J61" i="4"/>
  <c r="N61" i="4"/>
  <c r="O61" i="4"/>
  <c r="AB61" i="4"/>
  <c r="AC61" i="4"/>
  <c r="AD61" i="4"/>
  <c r="F62" i="4"/>
  <c r="H62" i="4"/>
  <c r="AA62" i="4" s="1"/>
  <c r="I62" i="4"/>
  <c r="J62" i="4"/>
  <c r="N62" i="4"/>
  <c r="O62" i="4"/>
  <c r="T61" i="4" s="1"/>
  <c r="AC62" i="4"/>
  <c r="AD62" i="4"/>
  <c r="F63" i="4"/>
  <c r="H63" i="4"/>
  <c r="I63" i="4"/>
  <c r="J63" i="4"/>
  <c r="N63" i="4"/>
  <c r="O63" i="4"/>
  <c r="AC63" i="4"/>
  <c r="AD63" i="4"/>
  <c r="F64" i="4"/>
  <c r="H64" i="4"/>
  <c r="S64" i="4" s="1"/>
  <c r="W64" i="4" s="1"/>
  <c r="I64" i="4"/>
  <c r="J64" i="4"/>
  <c r="N64" i="4"/>
  <c r="O64" i="4"/>
  <c r="Y64" i="4" s="1"/>
  <c r="AC64" i="4"/>
  <c r="AD64" i="4"/>
  <c r="F65" i="4"/>
  <c r="H65" i="4"/>
  <c r="AA65" i="4" s="1"/>
  <c r="I65" i="4"/>
  <c r="J65" i="4"/>
  <c r="K65" i="4" s="1"/>
  <c r="N65" i="4"/>
  <c r="O65" i="4"/>
  <c r="Y65" i="4" s="1"/>
  <c r="AB65" i="4"/>
  <c r="AC65" i="4"/>
  <c r="AD65" i="4"/>
  <c r="F66" i="4"/>
  <c r="H66" i="4"/>
  <c r="S66" i="4" s="1"/>
  <c r="I66" i="4"/>
  <c r="J66" i="4"/>
  <c r="N66" i="4"/>
  <c r="O66" i="4"/>
  <c r="AC66" i="4"/>
  <c r="AD66" i="4"/>
  <c r="F67" i="4"/>
  <c r="H67" i="4"/>
  <c r="I67" i="4"/>
  <c r="J67" i="4"/>
  <c r="N67" i="4"/>
  <c r="O67" i="4"/>
  <c r="AC67" i="4"/>
  <c r="AD67" i="4"/>
  <c r="F68" i="4"/>
  <c r="H68" i="4"/>
  <c r="S68" i="4" s="1"/>
  <c r="I68" i="4"/>
  <c r="J68" i="4"/>
  <c r="N68" i="4"/>
  <c r="AA68" i="4" s="1"/>
  <c r="O68" i="4"/>
  <c r="AC68" i="4"/>
  <c r="AD68" i="4"/>
  <c r="F69" i="4"/>
  <c r="H69" i="4"/>
  <c r="S69" i="4" s="1"/>
  <c r="I69" i="4"/>
  <c r="J69" i="4"/>
  <c r="N69" i="4"/>
  <c r="O69" i="4"/>
  <c r="AB69" i="4"/>
  <c r="AC69" i="4"/>
  <c r="AD69" i="4"/>
  <c r="F70" i="4"/>
  <c r="H70" i="4"/>
  <c r="I70" i="4"/>
  <c r="J70" i="4"/>
  <c r="N70" i="4"/>
  <c r="O70" i="4"/>
  <c r="AC70" i="4"/>
  <c r="AD70" i="4"/>
  <c r="F71" i="4"/>
  <c r="H71" i="4"/>
  <c r="I71" i="4"/>
  <c r="J71" i="4"/>
  <c r="N71" i="4"/>
  <c r="O71" i="4"/>
  <c r="AC71" i="4"/>
  <c r="AD71" i="4"/>
  <c r="F72" i="4"/>
  <c r="H72" i="4"/>
  <c r="I72" i="4"/>
  <c r="J72" i="4"/>
  <c r="N72" i="4"/>
  <c r="O72" i="4"/>
  <c r="AC72" i="4"/>
  <c r="AD72" i="4"/>
  <c r="F73" i="4"/>
  <c r="H73" i="4"/>
  <c r="S73" i="4" s="1"/>
  <c r="I73" i="4"/>
  <c r="J73" i="4"/>
  <c r="K73" i="4" s="1"/>
  <c r="Q73" i="4" s="1"/>
  <c r="R73" i="4" s="1"/>
  <c r="N73" i="4"/>
  <c r="O73" i="4"/>
  <c r="AB73" i="4"/>
  <c r="AC73" i="4"/>
  <c r="AD73" i="4"/>
  <c r="F74" i="4"/>
  <c r="H74" i="4"/>
  <c r="I74" i="4"/>
  <c r="J74" i="4"/>
  <c r="N74" i="4"/>
  <c r="O74" i="4"/>
  <c r="AC74" i="4"/>
  <c r="AD74" i="4"/>
  <c r="F75" i="4"/>
  <c r="H75" i="4"/>
  <c r="AA75" i="4" s="1"/>
  <c r="I75" i="4"/>
  <c r="J75" i="4"/>
  <c r="N75" i="4"/>
  <c r="O75" i="4"/>
  <c r="AC75" i="4"/>
  <c r="AD75" i="4"/>
  <c r="F76" i="4"/>
  <c r="H76" i="4"/>
  <c r="S76" i="4"/>
  <c r="I76" i="4"/>
  <c r="J76" i="4"/>
  <c r="N76" i="4"/>
  <c r="O76" i="4"/>
  <c r="AC76" i="4"/>
  <c r="AD76" i="4"/>
  <c r="L12" i="2"/>
  <c r="F20" i="2"/>
  <c r="AB20" i="2"/>
  <c r="AC20" i="2"/>
  <c r="F21" i="2"/>
  <c r="M21" i="2"/>
  <c r="N21" i="2"/>
  <c r="X21" i="2"/>
  <c r="Y21" i="2"/>
  <c r="Z21" i="2"/>
  <c r="AB21" i="2"/>
  <c r="AC21" i="2"/>
  <c r="F22" i="2"/>
  <c r="M22" i="2"/>
  <c r="N22" i="2"/>
  <c r="X22" i="2"/>
  <c r="Y22" i="2"/>
  <c r="Z22" i="2"/>
  <c r="AB22" i="2"/>
  <c r="AC22" i="2"/>
  <c r="F23" i="2"/>
  <c r="M23" i="2"/>
  <c r="U23" i="2" s="1"/>
  <c r="N23" i="2"/>
  <c r="X23" i="2"/>
  <c r="Y23" i="2"/>
  <c r="Z23" i="2"/>
  <c r="AB23" i="2"/>
  <c r="AC23" i="2"/>
  <c r="F24" i="2"/>
  <c r="M24" i="2"/>
  <c r="N24" i="2"/>
  <c r="X24" i="2"/>
  <c r="Y24" i="2"/>
  <c r="Z24" i="2"/>
  <c r="AB24" i="2"/>
  <c r="AC24" i="2"/>
  <c r="F25" i="2"/>
  <c r="M25" i="2"/>
  <c r="U25" i="2" s="1"/>
  <c r="N25" i="2"/>
  <c r="X25" i="2"/>
  <c r="Y25" i="2"/>
  <c r="Z25" i="2"/>
  <c r="AB25" i="2"/>
  <c r="AC25" i="2"/>
  <c r="F26" i="2"/>
  <c r="H26" i="2"/>
  <c r="L26" i="2"/>
  <c r="M26" i="2"/>
  <c r="N26" i="2"/>
  <c r="S26" i="2" s="1"/>
  <c r="T26" i="2" s="1"/>
  <c r="X26" i="2"/>
  <c r="Y26" i="2"/>
  <c r="Z26" i="2"/>
  <c r="AB26" i="2"/>
  <c r="AC26" i="2"/>
  <c r="F27" i="2"/>
  <c r="H27" i="2"/>
  <c r="R27" i="2"/>
  <c r="L27" i="2"/>
  <c r="M27" i="2"/>
  <c r="N27" i="2"/>
  <c r="X27" i="2"/>
  <c r="Y27" i="2"/>
  <c r="Z27" i="2"/>
  <c r="AB27" i="2"/>
  <c r="AC27" i="2"/>
  <c r="F28" i="2"/>
  <c r="H28" i="2"/>
  <c r="R28" i="2" s="1"/>
  <c r="L28" i="2"/>
  <c r="M28" i="2"/>
  <c r="N28" i="2"/>
  <c r="V28" i="2" s="1"/>
  <c r="X28" i="2"/>
  <c r="Y28" i="2"/>
  <c r="Z28" i="2"/>
  <c r="AB28" i="2"/>
  <c r="AC28" i="2"/>
  <c r="F29" i="2"/>
  <c r="H29" i="2"/>
  <c r="R29" i="2"/>
  <c r="L29" i="2"/>
  <c r="M29" i="2"/>
  <c r="N29" i="2"/>
  <c r="X29" i="2"/>
  <c r="Y29" i="2"/>
  <c r="Z29" i="2"/>
  <c r="AB29" i="2"/>
  <c r="AC29" i="2"/>
  <c r="F30" i="2"/>
  <c r="H30" i="2"/>
  <c r="R30" i="2" s="1"/>
  <c r="L30" i="2"/>
  <c r="P30" i="2" s="1"/>
  <c r="Q30" i="2" s="1"/>
  <c r="M30" i="2"/>
  <c r="U30" i="2" s="1"/>
  <c r="N30" i="2"/>
  <c r="X30" i="2"/>
  <c r="Y30" i="2"/>
  <c r="Z30" i="2"/>
  <c r="AB30" i="2"/>
  <c r="AC30" i="2"/>
  <c r="F31" i="2"/>
  <c r="H31" i="2"/>
  <c r="L31" i="2"/>
  <c r="M31" i="2"/>
  <c r="N31" i="2"/>
  <c r="S31" i="2" s="1"/>
  <c r="T31" i="2" s="1"/>
  <c r="X31" i="2"/>
  <c r="Y31" i="2"/>
  <c r="Z31" i="2"/>
  <c r="AB31" i="2"/>
  <c r="AC31" i="2"/>
  <c r="F32" i="2"/>
  <c r="M32" i="2"/>
  <c r="N32" i="2"/>
  <c r="S32" i="2" s="1"/>
  <c r="X32" i="2"/>
  <c r="Y32" i="2"/>
  <c r="Z32" i="2"/>
  <c r="AB32" i="2"/>
  <c r="AC32" i="2"/>
  <c r="F33" i="2"/>
  <c r="M33" i="2"/>
  <c r="N33" i="2"/>
  <c r="X33" i="2"/>
  <c r="Y33" i="2"/>
  <c r="Z33" i="2"/>
  <c r="AB33" i="2"/>
  <c r="AC33" i="2"/>
  <c r="F34" i="2"/>
  <c r="M34" i="2"/>
  <c r="N34" i="2"/>
  <c r="U34" i="2" s="1"/>
  <c r="X34" i="2"/>
  <c r="Y34" i="2"/>
  <c r="Z34" i="2"/>
  <c r="AB34" i="2"/>
  <c r="AC34" i="2"/>
  <c r="F35" i="2"/>
  <c r="M35" i="2"/>
  <c r="N35" i="2"/>
  <c r="U35" i="2" s="1"/>
  <c r="X35" i="2"/>
  <c r="Y35" i="2"/>
  <c r="Z35" i="2"/>
  <c r="AB35" i="2"/>
  <c r="AC35" i="2"/>
  <c r="F36" i="2"/>
  <c r="M36" i="2"/>
  <c r="N36" i="2"/>
  <c r="S36" i="2" s="1"/>
  <c r="T36" i="2" s="1"/>
  <c r="X36" i="2"/>
  <c r="Y36" i="2"/>
  <c r="Z36" i="2"/>
  <c r="AB36" i="2"/>
  <c r="AC36" i="2"/>
  <c r="F37" i="2"/>
  <c r="M37" i="2"/>
  <c r="N37" i="2"/>
  <c r="S37" i="2" s="1"/>
  <c r="T37" i="2" s="1"/>
  <c r="X37" i="2"/>
  <c r="Y37" i="2"/>
  <c r="Z37" i="2"/>
  <c r="AB37" i="2"/>
  <c r="AC37" i="2"/>
  <c r="F38" i="2"/>
  <c r="H38" i="2"/>
  <c r="R38" i="2" s="1"/>
  <c r="L38" i="2"/>
  <c r="M38" i="2"/>
  <c r="N38" i="2"/>
  <c r="X38" i="2"/>
  <c r="Y38" i="2"/>
  <c r="Z38" i="2"/>
  <c r="AB38" i="2"/>
  <c r="AC38" i="2"/>
  <c r="F39" i="2"/>
  <c r="H39" i="2"/>
  <c r="V39" i="2" s="1"/>
  <c r="L39" i="2"/>
  <c r="M39" i="2"/>
  <c r="N39" i="2"/>
  <c r="U39" i="2" s="1"/>
  <c r="X39" i="2"/>
  <c r="Y39" i="2"/>
  <c r="Z39" i="2"/>
  <c r="AB39" i="2"/>
  <c r="AC39" i="2"/>
  <c r="F40" i="2"/>
  <c r="H40" i="2"/>
  <c r="R40" i="2"/>
  <c r="L40" i="2"/>
  <c r="M40" i="2"/>
  <c r="N40" i="2"/>
  <c r="X40" i="2"/>
  <c r="Y40" i="2"/>
  <c r="Z40" i="2"/>
  <c r="AB40" i="2"/>
  <c r="AC40" i="2"/>
  <c r="F41" i="2"/>
  <c r="H41" i="2"/>
  <c r="L41" i="2"/>
  <c r="M41" i="2"/>
  <c r="N41" i="2"/>
  <c r="X41" i="2"/>
  <c r="Y41" i="2"/>
  <c r="Z41" i="2"/>
  <c r="AB41" i="2"/>
  <c r="AC41" i="2"/>
  <c r="F42" i="2"/>
  <c r="H42" i="2"/>
  <c r="R42" i="2" s="1"/>
  <c r="L42" i="2"/>
  <c r="P42" i="2" s="1"/>
  <c r="Q42" i="2" s="1"/>
  <c r="M42" i="2"/>
  <c r="N42" i="2"/>
  <c r="X42" i="2"/>
  <c r="Y42" i="2"/>
  <c r="Z42" i="2"/>
  <c r="AB42" i="2"/>
  <c r="AC42" i="2"/>
  <c r="F43" i="2"/>
  <c r="H43" i="2"/>
  <c r="R43" i="2" s="1"/>
  <c r="L43" i="2"/>
  <c r="M43" i="2"/>
  <c r="N43" i="2"/>
  <c r="S43" i="2" s="1"/>
  <c r="T43" i="2" s="1"/>
  <c r="X43" i="2"/>
  <c r="Y43" i="2"/>
  <c r="Z43" i="2"/>
  <c r="AB43" i="2"/>
  <c r="AC43" i="2"/>
  <c r="M45" i="2"/>
  <c r="N45" i="2"/>
  <c r="X45" i="2"/>
  <c r="Y45" i="2"/>
  <c r="H46" i="2"/>
  <c r="R46" i="2" s="1"/>
  <c r="L46" i="2"/>
  <c r="M46" i="2"/>
  <c r="U46" i="2" s="1"/>
  <c r="N46" i="2"/>
  <c r="X46" i="2"/>
  <c r="Y46" i="2"/>
  <c r="F47" i="2"/>
  <c r="H47" i="2"/>
  <c r="L47" i="2"/>
  <c r="M47" i="2"/>
  <c r="N47" i="2"/>
  <c r="U47" i="2" s="1"/>
  <c r="X47" i="2"/>
  <c r="Y47" i="2"/>
  <c r="F48" i="2"/>
  <c r="H48" i="2"/>
  <c r="R48" i="2" s="1"/>
  <c r="L48" i="2"/>
  <c r="M48" i="2"/>
  <c r="N48" i="2"/>
  <c r="X48" i="2"/>
  <c r="Y48" i="2"/>
  <c r="F49" i="2"/>
  <c r="H49" i="2"/>
  <c r="R49" i="2" s="1"/>
  <c r="L49" i="2"/>
  <c r="M49" i="2"/>
  <c r="N49" i="2"/>
  <c r="X49" i="2"/>
  <c r="Y49" i="2"/>
  <c r="F50" i="2"/>
  <c r="H50" i="2"/>
  <c r="L50" i="2"/>
  <c r="M50" i="2"/>
  <c r="N50" i="2"/>
  <c r="X50" i="2"/>
  <c r="Y50" i="2"/>
  <c r="F51" i="2"/>
  <c r="H51" i="2"/>
  <c r="R51" i="2" s="1"/>
  <c r="L51" i="2"/>
  <c r="M51" i="2"/>
  <c r="N51" i="2"/>
  <c r="X51" i="2"/>
  <c r="Y51" i="2"/>
  <c r="F52" i="2"/>
  <c r="H52" i="2"/>
  <c r="R52" i="2" s="1"/>
  <c r="L52" i="2"/>
  <c r="M52" i="2"/>
  <c r="N52" i="2"/>
  <c r="U52" i="2" s="1"/>
  <c r="X52" i="2"/>
  <c r="Y52" i="2"/>
  <c r="F53" i="2"/>
  <c r="H53" i="2"/>
  <c r="R53" i="2" s="1"/>
  <c r="L53" i="2"/>
  <c r="M53" i="2"/>
  <c r="N53" i="2"/>
  <c r="X53" i="2"/>
  <c r="Y53" i="2"/>
  <c r="F54" i="2"/>
  <c r="H54" i="2"/>
  <c r="R54" i="2" s="1"/>
  <c r="L54" i="2"/>
  <c r="M54" i="2"/>
  <c r="N54" i="2"/>
  <c r="U54" i="2" s="1"/>
  <c r="X54" i="2"/>
  <c r="Y54" i="2"/>
  <c r="F55" i="2"/>
  <c r="M55" i="2"/>
  <c r="N55" i="2"/>
  <c r="X55" i="2"/>
  <c r="Y55" i="2"/>
  <c r="F56" i="2"/>
  <c r="M56" i="2"/>
  <c r="N56" i="2"/>
  <c r="X56" i="2"/>
  <c r="Y56" i="2"/>
  <c r="F57" i="2"/>
  <c r="H57" i="2"/>
  <c r="L57" i="2"/>
  <c r="M57" i="2"/>
  <c r="N57" i="2"/>
  <c r="X57" i="2"/>
  <c r="Y57" i="2"/>
  <c r="F58" i="2"/>
  <c r="H58" i="2"/>
  <c r="L58" i="2"/>
  <c r="M58" i="2"/>
  <c r="N58" i="2"/>
  <c r="S58" i="2" s="1"/>
  <c r="T58" i="2" s="1"/>
  <c r="X58" i="2"/>
  <c r="Y58" i="2"/>
  <c r="F59" i="2"/>
  <c r="H59" i="2"/>
  <c r="L59" i="2"/>
  <c r="M59" i="2"/>
  <c r="N59" i="2"/>
  <c r="X59" i="2"/>
  <c r="Y59" i="2"/>
  <c r="F60" i="2"/>
  <c r="H60" i="2"/>
  <c r="L60" i="2"/>
  <c r="M60" i="2"/>
  <c r="N60" i="2"/>
  <c r="X60" i="2"/>
  <c r="Y60" i="2"/>
  <c r="F61" i="2"/>
  <c r="H61" i="2"/>
  <c r="R61" i="2" s="1"/>
  <c r="L61" i="2"/>
  <c r="P61" i="2" s="1"/>
  <c r="Q61" i="2" s="1"/>
  <c r="M61" i="2"/>
  <c r="N61" i="2"/>
  <c r="U61" i="2" s="1"/>
  <c r="X61" i="2"/>
  <c r="Y61" i="2"/>
  <c r="F62" i="2"/>
  <c r="H62" i="2"/>
  <c r="L62" i="2"/>
  <c r="M62" i="2"/>
  <c r="N62" i="2"/>
  <c r="X62" i="2"/>
  <c r="Y62" i="2"/>
  <c r="F63" i="2"/>
  <c r="H63" i="2"/>
  <c r="R63" i="2" s="1"/>
  <c r="L63" i="2"/>
  <c r="P63" i="2" s="1"/>
  <c r="Q63" i="2" s="1"/>
  <c r="M63" i="2"/>
  <c r="N63" i="2"/>
  <c r="U63" i="2" s="1"/>
  <c r="X63" i="2"/>
  <c r="Y63" i="2"/>
  <c r="F64" i="2"/>
  <c r="H64" i="2"/>
  <c r="L64" i="2"/>
  <c r="M64" i="2"/>
  <c r="N64" i="2"/>
  <c r="X64" i="2"/>
  <c r="Y64" i="2"/>
  <c r="F65" i="2"/>
  <c r="M65" i="2"/>
  <c r="N65" i="2"/>
  <c r="U65" i="2" s="1"/>
  <c r="X65" i="2"/>
  <c r="Y65" i="2"/>
  <c r="F66" i="2"/>
  <c r="H66" i="2"/>
  <c r="R66" i="2" s="1"/>
  <c r="L66" i="2"/>
  <c r="M66" i="2"/>
  <c r="N66" i="2"/>
  <c r="X66" i="2"/>
  <c r="Y66" i="2"/>
  <c r="F67" i="2"/>
  <c r="H67" i="2"/>
  <c r="R67" i="2" s="1"/>
  <c r="L67" i="2"/>
  <c r="M67" i="2"/>
  <c r="N67" i="2"/>
  <c r="X67" i="2"/>
  <c r="Y67" i="2"/>
  <c r="F68" i="2"/>
  <c r="H68" i="2"/>
  <c r="R68" i="2"/>
  <c r="L68" i="2"/>
  <c r="P68" i="2" s="1"/>
  <c r="Q68" i="2" s="1"/>
  <c r="M68" i="2"/>
  <c r="N68" i="2"/>
  <c r="X68" i="2"/>
  <c r="Y68" i="2"/>
  <c r="F69" i="2"/>
  <c r="H69" i="2"/>
  <c r="R69" i="2"/>
  <c r="L69" i="2"/>
  <c r="P69" i="2" s="1"/>
  <c r="Q69" i="2" s="1"/>
  <c r="M69" i="2"/>
  <c r="N69" i="2"/>
  <c r="X69" i="2"/>
  <c r="Y69" i="2"/>
  <c r="F70" i="2"/>
  <c r="H70" i="2"/>
  <c r="L70" i="2"/>
  <c r="P70" i="2" s="1"/>
  <c r="Q70" i="2" s="1"/>
  <c r="M70" i="2"/>
  <c r="N70" i="2"/>
  <c r="X70" i="2"/>
  <c r="Y70" i="2"/>
  <c r="F71" i="2"/>
  <c r="H71" i="2"/>
  <c r="L71" i="2"/>
  <c r="M71" i="2"/>
  <c r="N71" i="2"/>
  <c r="V71" i="2" s="1"/>
  <c r="X71" i="2"/>
  <c r="Y71" i="2"/>
  <c r="F72" i="2"/>
  <c r="H72" i="2"/>
  <c r="L72" i="2"/>
  <c r="M72" i="2"/>
  <c r="N72" i="2"/>
  <c r="X72" i="2"/>
  <c r="Y72" i="2"/>
  <c r="F73" i="2"/>
  <c r="H73" i="2"/>
  <c r="L73" i="2"/>
  <c r="M73" i="2"/>
  <c r="N73" i="2"/>
  <c r="S73" i="2" s="1"/>
  <c r="T73" i="2" s="1"/>
  <c r="X73" i="2"/>
  <c r="Y73" i="2"/>
  <c r="F74" i="2"/>
  <c r="H74" i="2"/>
  <c r="L74" i="2"/>
  <c r="M74" i="2"/>
  <c r="N74" i="2"/>
  <c r="X74" i="2"/>
  <c r="Y74" i="2"/>
  <c r="F75" i="2"/>
  <c r="H75" i="2"/>
  <c r="R75" i="2" s="1"/>
  <c r="L75" i="2"/>
  <c r="M75" i="2"/>
  <c r="N75" i="2"/>
  <c r="U75" i="2" s="1"/>
  <c r="W75" i="2"/>
  <c r="X75" i="2"/>
  <c r="Y75" i="2"/>
  <c r="F76" i="2"/>
  <c r="H76" i="2"/>
  <c r="R76" i="2" s="1"/>
  <c r="L76" i="2"/>
  <c r="M76" i="2"/>
  <c r="N76" i="2"/>
  <c r="V76" i="2" s="1"/>
  <c r="X76" i="2"/>
  <c r="Y76" i="2"/>
  <c r="F77" i="2"/>
  <c r="H77" i="2"/>
  <c r="L77" i="2"/>
  <c r="M77" i="2"/>
  <c r="N77" i="2"/>
  <c r="X77" i="2"/>
  <c r="Y77" i="2"/>
  <c r="F78" i="2"/>
  <c r="H78" i="2"/>
  <c r="R78" i="2" s="1"/>
  <c r="L78" i="2"/>
  <c r="M78" i="2"/>
  <c r="N78" i="2"/>
  <c r="U78" i="2" s="1"/>
  <c r="X78" i="2"/>
  <c r="Y78" i="2"/>
  <c r="F79" i="2"/>
  <c r="H79" i="2"/>
  <c r="R79" i="2" s="1"/>
  <c r="L79" i="2"/>
  <c r="M79" i="2"/>
  <c r="N79" i="2"/>
  <c r="X79" i="2"/>
  <c r="Y79" i="2"/>
  <c r="F80" i="2"/>
  <c r="H80" i="2"/>
  <c r="L80" i="2"/>
  <c r="M80" i="2"/>
  <c r="N80" i="2"/>
  <c r="X80" i="2"/>
  <c r="Y80" i="2"/>
  <c r="F81" i="2"/>
  <c r="H81" i="2"/>
  <c r="L81" i="2"/>
  <c r="M81" i="2"/>
  <c r="N81" i="2"/>
  <c r="X81" i="2"/>
  <c r="Y81" i="2"/>
  <c r="F82" i="2"/>
  <c r="H82" i="2"/>
  <c r="R82" i="2"/>
  <c r="L82" i="2"/>
  <c r="M82" i="2"/>
  <c r="N82" i="2"/>
  <c r="X82" i="2"/>
  <c r="Y82" i="2"/>
  <c r="F83" i="2"/>
  <c r="H83" i="2"/>
  <c r="R83" i="2"/>
  <c r="L83" i="2"/>
  <c r="M83" i="2"/>
  <c r="N83" i="2"/>
  <c r="S83" i="2"/>
  <c r="T83" i="2" s="1"/>
  <c r="X83" i="2"/>
  <c r="Y83" i="2"/>
  <c r="F84" i="2"/>
  <c r="H84" i="2"/>
  <c r="R84" i="2" s="1"/>
  <c r="L84" i="2"/>
  <c r="M84" i="2"/>
  <c r="N84" i="2"/>
  <c r="X84" i="2"/>
  <c r="Y84" i="2"/>
  <c r="F85" i="2"/>
  <c r="H85" i="2"/>
  <c r="L85" i="2"/>
  <c r="M85" i="2"/>
  <c r="N85" i="2"/>
  <c r="W85" i="2"/>
  <c r="X85" i="2"/>
  <c r="Y85" i="2"/>
  <c r="F86" i="2"/>
  <c r="H86" i="2"/>
  <c r="L86" i="2"/>
  <c r="M86" i="2"/>
  <c r="N86" i="2"/>
  <c r="X86" i="2"/>
  <c r="Y86" i="2"/>
  <c r="F87" i="2"/>
  <c r="H87" i="2"/>
  <c r="L87" i="2"/>
  <c r="P87" i="2" s="1"/>
  <c r="Q87" i="2" s="1"/>
  <c r="M87" i="2"/>
  <c r="S87" i="2" s="1"/>
  <c r="T87" i="2" s="1"/>
  <c r="N87" i="2"/>
  <c r="X87" i="2"/>
  <c r="Y87" i="2"/>
  <c r="F88" i="2"/>
  <c r="H88" i="2"/>
  <c r="R88" i="2" s="1"/>
  <c r="L88" i="2"/>
  <c r="P88" i="2" s="1"/>
  <c r="Q88" i="2" s="1"/>
  <c r="M88" i="2"/>
  <c r="N88" i="2"/>
  <c r="V88" i="2" s="1"/>
  <c r="X88" i="2"/>
  <c r="Y88" i="2"/>
  <c r="F89" i="2"/>
  <c r="H89" i="2"/>
  <c r="L89" i="2"/>
  <c r="M89" i="2"/>
  <c r="N89" i="2"/>
  <c r="X89" i="2"/>
  <c r="Y89" i="2"/>
  <c r="F90" i="2"/>
  <c r="H90" i="2"/>
  <c r="L90" i="2"/>
  <c r="M90" i="2"/>
  <c r="N90" i="2"/>
  <c r="X90" i="2"/>
  <c r="Y90" i="2"/>
  <c r="F91" i="2"/>
  <c r="H91" i="2"/>
  <c r="R91" i="2" s="1"/>
  <c r="L91" i="2"/>
  <c r="M91" i="2"/>
  <c r="N91" i="2"/>
  <c r="X91" i="2"/>
  <c r="Y91" i="2"/>
  <c r="F92" i="2"/>
  <c r="H92" i="2"/>
  <c r="L92" i="2"/>
  <c r="M92" i="2"/>
  <c r="N92" i="2"/>
  <c r="V92" i="2" s="1"/>
  <c r="X92" i="2"/>
  <c r="Y92" i="2"/>
  <c r="F93" i="2"/>
  <c r="H93" i="2"/>
  <c r="R93" i="2" s="1"/>
  <c r="L93" i="2"/>
  <c r="M93" i="2"/>
  <c r="N93" i="2"/>
  <c r="X93" i="2"/>
  <c r="Y93" i="2"/>
  <c r="F94" i="2"/>
  <c r="H94" i="2"/>
  <c r="V94" i="2" s="1"/>
  <c r="L94" i="2"/>
  <c r="M94" i="2"/>
  <c r="N94" i="2"/>
  <c r="X94" i="2"/>
  <c r="Y94" i="2"/>
  <c r="F95" i="2"/>
  <c r="H95" i="2"/>
  <c r="R95" i="2"/>
  <c r="L95" i="2"/>
  <c r="P95" i="2" s="1"/>
  <c r="Q95" i="2" s="1"/>
  <c r="M95" i="2"/>
  <c r="N95" i="2"/>
  <c r="W95" i="2"/>
  <c r="X95" i="2"/>
  <c r="Y95" i="2"/>
  <c r="F96" i="2"/>
  <c r="H96" i="2"/>
  <c r="V96" i="2" s="1"/>
  <c r="L96" i="2"/>
  <c r="M96" i="2"/>
  <c r="N96" i="2"/>
  <c r="U96" i="2" s="1"/>
  <c r="X96" i="2"/>
  <c r="Y96" i="2"/>
  <c r="F97" i="2"/>
  <c r="H97" i="2"/>
  <c r="L97" i="2"/>
  <c r="P97" i="2" s="1"/>
  <c r="Q97" i="2" s="1"/>
  <c r="M97" i="2"/>
  <c r="U97" i="2" s="1"/>
  <c r="N97" i="2"/>
  <c r="X97" i="2"/>
  <c r="Y97" i="2"/>
  <c r="F98" i="2"/>
  <c r="H98" i="2"/>
  <c r="R98" i="2" s="1"/>
  <c r="L98" i="2"/>
  <c r="P98" i="2" s="1"/>
  <c r="Q98" i="2" s="1"/>
  <c r="M98" i="2"/>
  <c r="N98" i="2"/>
  <c r="X98" i="2"/>
  <c r="Y98" i="2"/>
  <c r="F99" i="2"/>
  <c r="H99" i="2"/>
  <c r="R99" i="2" s="1"/>
  <c r="L99" i="2"/>
  <c r="M99" i="2"/>
  <c r="N99" i="2"/>
  <c r="X99" i="2"/>
  <c r="Y99" i="2"/>
  <c r="F100" i="2"/>
  <c r="H100" i="2"/>
  <c r="L100" i="2"/>
  <c r="M100" i="2"/>
  <c r="N100" i="2"/>
  <c r="X100" i="2"/>
  <c r="Y100" i="2"/>
  <c r="F101" i="2"/>
  <c r="H101" i="2"/>
  <c r="R101" i="2" s="1"/>
  <c r="L101" i="2"/>
  <c r="M101" i="2"/>
  <c r="U101" i="2" s="1"/>
  <c r="N101" i="2"/>
  <c r="X101" i="2"/>
  <c r="Y101" i="2"/>
  <c r="F102" i="2"/>
  <c r="H102" i="2"/>
  <c r="L102" i="2"/>
  <c r="M102" i="2"/>
  <c r="N102" i="2"/>
  <c r="V102" i="2" s="1"/>
  <c r="X102" i="2"/>
  <c r="Y102" i="2"/>
  <c r="F103" i="2"/>
  <c r="H103" i="2"/>
  <c r="L103" i="2"/>
  <c r="M103" i="2"/>
  <c r="N103" i="2"/>
  <c r="X103" i="2"/>
  <c r="Y103" i="2"/>
  <c r="F104" i="2"/>
  <c r="H104" i="2"/>
  <c r="L104" i="2"/>
  <c r="M104" i="2"/>
  <c r="N104" i="2"/>
  <c r="X104" i="2"/>
  <c r="Y104" i="2"/>
  <c r="F105" i="2"/>
  <c r="H105" i="2"/>
  <c r="R105" i="2" s="1"/>
  <c r="L105" i="2"/>
  <c r="M105" i="2"/>
  <c r="N105" i="2"/>
  <c r="W105" i="2"/>
  <c r="X105" i="2"/>
  <c r="Y105" i="2"/>
  <c r="F106" i="2"/>
  <c r="H106" i="2"/>
  <c r="L106" i="2"/>
  <c r="M106" i="2"/>
  <c r="S106" i="2" s="1"/>
  <c r="T106" i="2" s="1"/>
  <c r="N106" i="2"/>
  <c r="X106" i="2"/>
  <c r="Y106" i="2"/>
  <c r="F107" i="2"/>
  <c r="H107" i="2"/>
  <c r="L107" i="2"/>
  <c r="M107" i="2"/>
  <c r="N107" i="2"/>
  <c r="X107" i="2"/>
  <c r="Y107" i="2"/>
  <c r="F108" i="2"/>
  <c r="H108" i="2"/>
  <c r="L108" i="2"/>
  <c r="M108" i="2"/>
  <c r="N108" i="2"/>
  <c r="S108" i="2" s="1"/>
  <c r="T108" i="2" s="1"/>
  <c r="X108" i="2"/>
  <c r="Y108" i="2"/>
  <c r="F109" i="2"/>
  <c r="H109" i="2"/>
  <c r="L109" i="2"/>
  <c r="M109" i="2"/>
  <c r="N109" i="2"/>
  <c r="X109" i="2"/>
  <c r="Y109" i="2"/>
  <c r="F110" i="2"/>
  <c r="H110" i="2"/>
  <c r="L110" i="2"/>
  <c r="M110" i="2"/>
  <c r="U110" i="2" s="1"/>
  <c r="N110" i="2"/>
  <c r="X110" i="2"/>
  <c r="Y110" i="2"/>
  <c r="F111" i="2"/>
  <c r="H111" i="2"/>
  <c r="L111" i="2"/>
  <c r="M111" i="2"/>
  <c r="N111" i="2"/>
  <c r="S111" i="2" s="1"/>
  <c r="T111" i="2" s="1"/>
  <c r="X111" i="2"/>
  <c r="Y111" i="2"/>
  <c r="F112" i="2"/>
  <c r="H112" i="2"/>
  <c r="R112" i="2" s="1"/>
  <c r="L112" i="2"/>
  <c r="M112" i="2"/>
  <c r="N112" i="2"/>
  <c r="X112" i="2"/>
  <c r="Y112" i="2"/>
  <c r="F113" i="2"/>
  <c r="H113" i="2"/>
  <c r="L113" i="2"/>
  <c r="M113" i="2"/>
  <c r="N113" i="2"/>
  <c r="U113" i="2" s="1"/>
  <c r="X113" i="2"/>
  <c r="Y113" i="2"/>
  <c r="F114" i="2"/>
  <c r="H114" i="2"/>
  <c r="R114" i="2" s="1"/>
  <c r="L114" i="2"/>
  <c r="M114" i="2"/>
  <c r="U114" i="2" s="1"/>
  <c r="N114" i="2"/>
  <c r="X114" i="2"/>
  <c r="Y114" i="2"/>
  <c r="F115" i="2"/>
  <c r="H115" i="2"/>
  <c r="L115" i="2"/>
  <c r="M115" i="2"/>
  <c r="N115" i="2"/>
  <c r="W115" i="2"/>
  <c r="X115" i="2"/>
  <c r="Y115" i="2"/>
  <c r="F116" i="2"/>
  <c r="H116" i="2"/>
  <c r="L116" i="2"/>
  <c r="M116" i="2"/>
  <c r="N116" i="2"/>
  <c r="R116" i="2"/>
  <c r="X116" i="2"/>
  <c r="Y116" i="2"/>
  <c r="F117" i="2"/>
  <c r="H117" i="2"/>
  <c r="R117" i="2" s="1"/>
  <c r="L117" i="2"/>
  <c r="M117" i="2"/>
  <c r="N117" i="2"/>
  <c r="X117" i="2"/>
  <c r="Y117" i="2"/>
  <c r="F118" i="2"/>
  <c r="H118" i="2"/>
  <c r="L118" i="2"/>
  <c r="M118" i="2"/>
  <c r="U118" i="2" s="1"/>
  <c r="N118" i="2"/>
  <c r="X118" i="2"/>
  <c r="Y118" i="2"/>
  <c r="F119" i="2"/>
  <c r="H119" i="2"/>
  <c r="L119" i="2"/>
  <c r="P119" i="2" s="1"/>
  <c r="Q119" i="2" s="1"/>
  <c r="M119" i="2"/>
  <c r="N119" i="2"/>
  <c r="X119" i="2"/>
  <c r="Y119" i="2"/>
  <c r="F120" i="2"/>
  <c r="H120" i="2"/>
  <c r="L120" i="2"/>
  <c r="M120" i="2"/>
  <c r="S120" i="2" s="1"/>
  <c r="T120" i="2" s="1"/>
  <c r="N120" i="2"/>
  <c r="X120" i="2"/>
  <c r="Y120" i="2"/>
  <c r="F121" i="2"/>
  <c r="H121" i="2"/>
  <c r="R121" i="2" s="1"/>
  <c r="L121" i="2"/>
  <c r="M121" i="2"/>
  <c r="N121" i="2"/>
  <c r="X121" i="2"/>
  <c r="Y121" i="2"/>
  <c r="F122" i="2"/>
  <c r="H122" i="2"/>
  <c r="L122" i="2"/>
  <c r="M122" i="2"/>
  <c r="U122" i="2" s="1"/>
  <c r="N122" i="2"/>
  <c r="X122" i="2"/>
  <c r="Y122" i="2"/>
  <c r="F123" i="2"/>
  <c r="H123" i="2"/>
  <c r="R123" i="2" s="1"/>
  <c r="L123" i="2"/>
  <c r="P123" i="2" s="1"/>
  <c r="Q123" i="2" s="1"/>
  <c r="M123" i="2"/>
  <c r="N123" i="2"/>
  <c r="V123" i="2" s="1"/>
  <c r="X123" i="2"/>
  <c r="Y123" i="2"/>
  <c r="F124" i="2"/>
  <c r="H124" i="2"/>
  <c r="L124" i="2"/>
  <c r="M124" i="2"/>
  <c r="U124" i="2" s="1"/>
  <c r="N124" i="2"/>
  <c r="X124" i="2"/>
  <c r="Y124" i="2"/>
  <c r="F125" i="2"/>
  <c r="H125" i="2"/>
  <c r="R125" i="2" s="1"/>
  <c r="L125" i="2"/>
  <c r="P125" i="2" s="1"/>
  <c r="Q125" i="2" s="1"/>
  <c r="M125" i="2"/>
  <c r="N125" i="2"/>
  <c r="W125" i="2"/>
  <c r="X125" i="2"/>
  <c r="Y125" i="2"/>
  <c r="F126" i="2"/>
  <c r="H126" i="2"/>
  <c r="R126" i="2"/>
  <c r="L126" i="2"/>
  <c r="M126" i="2"/>
  <c r="N126" i="2"/>
  <c r="X126" i="2"/>
  <c r="Y126" i="2"/>
  <c r="F127" i="2"/>
  <c r="H127" i="2"/>
  <c r="L127" i="2"/>
  <c r="P127" i="2" s="1"/>
  <c r="Q127" i="2" s="1"/>
  <c r="M127" i="2"/>
  <c r="N127" i="2"/>
  <c r="X127" i="2"/>
  <c r="Y127" i="2"/>
  <c r="F128" i="2"/>
  <c r="H128" i="2"/>
  <c r="R128" i="2" s="1"/>
  <c r="L128" i="2"/>
  <c r="M128" i="2"/>
  <c r="N128" i="2"/>
  <c r="X128" i="2"/>
  <c r="Y128" i="2"/>
  <c r="F129" i="2"/>
  <c r="H129" i="2"/>
  <c r="R129" i="2"/>
  <c r="L129" i="2"/>
  <c r="M129" i="2"/>
  <c r="N129" i="2"/>
  <c r="X129" i="2"/>
  <c r="Y129" i="2"/>
  <c r="F130" i="2"/>
  <c r="H130" i="2"/>
  <c r="L130" i="2"/>
  <c r="P130" i="2" s="1"/>
  <c r="Q130" i="2" s="1"/>
  <c r="M130" i="2"/>
  <c r="N130" i="2"/>
  <c r="X130" i="2"/>
  <c r="Y130" i="2"/>
  <c r="F131" i="2"/>
  <c r="H131" i="2"/>
  <c r="R131" i="2" s="1"/>
  <c r="L131" i="2"/>
  <c r="M131" i="2"/>
  <c r="N131" i="2"/>
  <c r="X131" i="2"/>
  <c r="Y131" i="2"/>
  <c r="F132" i="2"/>
  <c r="H132" i="2"/>
  <c r="L132" i="2"/>
  <c r="M132" i="2"/>
  <c r="N132" i="2"/>
  <c r="V132" i="2" s="1"/>
  <c r="X132" i="2"/>
  <c r="Y132" i="2"/>
  <c r="F133" i="2"/>
  <c r="H133" i="2"/>
  <c r="L133" i="2"/>
  <c r="M133" i="2"/>
  <c r="S133" i="2" s="1"/>
  <c r="T133" i="2" s="1"/>
  <c r="N133" i="2"/>
  <c r="X133" i="2"/>
  <c r="Y133" i="2"/>
  <c r="F134" i="2"/>
  <c r="H134" i="2"/>
  <c r="L134" i="2"/>
  <c r="M134" i="2"/>
  <c r="N134" i="2"/>
  <c r="S134" i="2" s="1"/>
  <c r="T134" i="2" s="1"/>
  <c r="X134" i="2"/>
  <c r="Y134" i="2"/>
  <c r="F135" i="2"/>
  <c r="H135" i="2"/>
  <c r="R135" i="2" s="1"/>
  <c r="L135" i="2"/>
  <c r="M135" i="2"/>
  <c r="N135" i="2"/>
  <c r="W135" i="2"/>
  <c r="X135" i="2"/>
  <c r="Y135" i="2"/>
  <c r="F136" i="2"/>
  <c r="H136" i="2"/>
  <c r="R136" i="2" s="1"/>
  <c r="L136" i="2"/>
  <c r="M136" i="2"/>
  <c r="N136" i="2"/>
  <c r="X136" i="2"/>
  <c r="Y136" i="2"/>
  <c r="F137" i="2"/>
  <c r="H137" i="2"/>
  <c r="R137" i="2" s="1"/>
  <c r="L137" i="2"/>
  <c r="M137" i="2"/>
  <c r="N137" i="2"/>
  <c r="X137" i="2"/>
  <c r="Y137" i="2"/>
  <c r="F138" i="2"/>
  <c r="H138" i="2"/>
  <c r="R138" i="2" s="1"/>
  <c r="L138" i="2"/>
  <c r="P138" i="2" s="1"/>
  <c r="Q138" i="2" s="1"/>
  <c r="M138" i="2"/>
  <c r="N138" i="2"/>
  <c r="X138" i="2"/>
  <c r="Y138" i="2"/>
  <c r="F139" i="2"/>
  <c r="H139" i="2"/>
  <c r="L139" i="2"/>
  <c r="M139" i="2"/>
  <c r="S139" i="2" s="1"/>
  <c r="T139" i="2" s="1"/>
  <c r="N139" i="2"/>
  <c r="R139" i="2"/>
  <c r="X139" i="2"/>
  <c r="Y139" i="2"/>
  <c r="F140" i="2"/>
  <c r="H140" i="2"/>
  <c r="L140" i="2"/>
  <c r="M140" i="2"/>
  <c r="S140" i="2" s="1"/>
  <c r="T140" i="2" s="1"/>
  <c r="N140" i="2"/>
  <c r="X140" i="2"/>
  <c r="Y140" i="2"/>
  <c r="F141" i="2"/>
  <c r="H141" i="2"/>
  <c r="L141" i="2"/>
  <c r="M141" i="2"/>
  <c r="N141" i="2"/>
  <c r="V141" i="2" s="1"/>
  <c r="X141" i="2"/>
  <c r="Y141" i="2"/>
  <c r="F142" i="2"/>
  <c r="H142" i="2"/>
  <c r="R142" i="2" s="1"/>
  <c r="L142" i="2"/>
  <c r="M142" i="2"/>
  <c r="N142" i="2"/>
  <c r="U142" i="2" s="1"/>
  <c r="X142" i="2"/>
  <c r="Y142" i="2"/>
  <c r="F143" i="2"/>
  <c r="H143" i="2"/>
  <c r="R143" i="2" s="1"/>
  <c r="L143" i="2"/>
  <c r="M143" i="2"/>
  <c r="N143" i="2"/>
  <c r="X143" i="2"/>
  <c r="Y143" i="2"/>
  <c r="F144" i="2"/>
  <c r="H144" i="2"/>
  <c r="R144" i="2" s="1"/>
  <c r="L144" i="2"/>
  <c r="M144" i="2"/>
  <c r="N144" i="2"/>
  <c r="S144" i="2" s="1"/>
  <c r="T144" i="2" s="1"/>
  <c r="X144" i="2"/>
  <c r="Y144" i="2"/>
  <c r="F145" i="2"/>
  <c r="H145" i="2"/>
  <c r="L145" i="2"/>
  <c r="M145" i="2"/>
  <c r="N145" i="2"/>
  <c r="W145" i="2"/>
  <c r="X145" i="2"/>
  <c r="Y145" i="2"/>
  <c r="F146" i="2"/>
  <c r="H146" i="2"/>
  <c r="L146" i="2"/>
  <c r="M146" i="2"/>
  <c r="N146" i="2"/>
  <c r="X146" i="2"/>
  <c r="Y146" i="2"/>
  <c r="F147" i="2"/>
  <c r="H147" i="2"/>
  <c r="V147" i="2" s="1"/>
  <c r="L147" i="2"/>
  <c r="P147" i="2" s="1"/>
  <c r="Q147" i="2" s="1"/>
  <c r="M147" i="2"/>
  <c r="N147" i="2"/>
  <c r="X147" i="2"/>
  <c r="Y147" i="2"/>
  <c r="F148" i="2"/>
  <c r="H148" i="2"/>
  <c r="L148" i="2"/>
  <c r="M148" i="2"/>
  <c r="N148" i="2"/>
  <c r="X148" i="2"/>
  <c r="Y148" i="2"/>
  <c r="F149" i="2"/>
  <c r="H149" i="2"/>
  <c r="R149" i="2" s="1"/>
  <c r="L149" i="2"/>
  <c r="P149" i="2" s="1"/>
  <c r="Q149" i="2" s="1"/>
  <c r="M149" i="2"/>
  <c r="N149" i="2"/>
  <c r="X149" i="2"/>
  <c r="Y149" i="2"/>
  <c r="F150" i="2"/>
  <c r="H150" i="2"/>
  <c r="L150" i="2"/>
  <c r="M150" i="2"/>
  <c r="N150" i="2"/>
  <c r="R150" i="2"/>
  <c r="X150" i="2"/>
  <c r="Y150" i="2"/>
  <c r="F151" i="2"/>
  <c r="H151" i="2"/>
  <c r="R151" i="2" s="1"/>
  <c r="L151" i="2"/>
  <c r="M151" i="2"/>
  <c r="N151" i="2"/>
  <c r="X151" i="2"/>
  <c r="Y151" i="2"/>
  <c r="F152" i="2"/>
  <c r="H152" i="2"/>
  <c r="L152" i="2"/>
  <c r="M152" i="2"/>
  <c r="N152" i="2"/>
  <c r="S152" i="2" s="1"/>
  <c r="T152" i="2" s="1"/>
  <c r="X152" i="2"/>
  <c r="Y152" i="2"/>
  <c r="F153" i="2"/>
  <c r="H153" i="2"/>
  <c r="L153" i="2"/>
  <c r="M153" i="2"/>
  <c r="S153" i="2" s="1"/>
  <c r="N153" i="2"/>
  <c r="X153" i="2"/>
  <c r="Y153" i="2"/>
  <c r="F154" i="2"/>
  <c r="H154" i="2"/>
  <c r="L154" i="2"/>
  <c r="M154" i="2"/>
  <c r="N154" i="2"/>
  <c r="X154" i="2"/>
  <c r="Y154" i="2"/>
  <c r="F155" i="2"/>
  <c r="H155" i="2"/>
  <c r="L155" i="2"/>
  <c r="M155" i="2"/>
  <c r="S155" i="2" s="1"/>
  <c r="T155" i="2" s="1"/>
  <c r="N155" i="2"/>
  <c r="W155" i="2"/>
  <c r="X155" i="2"/>
  <c r="Y155" i="2"/>
  <c r="F156" i="2"/>
  <c r="H156" i="2"/>
  <c r="R156" i="2" s="1"/>
  <c r="L156" i="2"/>
  <c r="M156" i="2"/>
  <c r="N156" i="2"/>
  <c r="X156" i="2"/>
  <c r="Y156" i="2"/>
  <c r="F157" i="2"/>
  <c r="H157" i="2"/>
  <c r="L157" i="2"/>
  <c r="M157" i="2"/>
  <c r="N157" i="2"/>
  <c r="X157" i="2"/>
  <c r="Y157" i="2"/>
  <c r="F158" i="2"/>
  <c r="H158" i="2"/>
  <c r="L158" i="2"/>
  <c r="M158" i="2"/>
  <c r="N158" i="2"/>
  <c r="X158" i="2"/>
  <c r="Y158" i="2"/>
  <c r="F159" i="2"/>
  <c r="H159" i="2"/>
  <c r="L159" i="2"/>
  <c r="M159" i="2"/>
  <c r="N159" i="2"/>
  <c r="R159" i="2"/>
  <c r="X159" i="2"/>
  <c r="Y159" i="2"/>
  <c r="F160" i="2"/>
  <c r="H160" i="2"/>
  <c r="R160" i="2" s="1"/>
  <c r="L160" i="2"/>
  <c r="P160" i="2" s="1"/>
  <c r="Q160" i="2" s="1"/>
  <c r="M160" i="2"/>
  <c r="N160" i="2"/>
  <c r="V160" i="2" s="1"/>
  <c r="X160" i="2"/>
  <c r="Y160" i="2"/>
  <c r="F161" i="2"/>
  <c r="H161" i="2"/>
  <c r="L161" i="2"/>
  <c r="M161" i="2"/>
  <c r="N161" i="2"/>
  <c r="X161" i="2"/>
  <c r="Y161" i="2"/>
  <c r="F162" i="2"/>
  <c r="H162" i="2"/>
  <c r="R162" i="2" s="1"/>
  <c r="L162" i="2"/>
  <c r="M162" i="2"/>
  <c r="N162" i="2"/>
  <c r="X162" i="2"/>
  <c r="Y162" i="2"/>
  <c r="F163" i="2"/>
  <c r="H163" i="2"/>
  <c r="R163" i="2" s="1"/>
  <c r="L163" i="2"/>
  <c r="M163" i="2"/>
  <c r="N163" i="2"/>
  <c r="X163" i="2"/>
  <c r="Y163" i="2"/>
  <c r="F164" i="2"/>
  <c r="H164" i="2"/>
  <c r="R164" i="2" s="1"/>
  <c r="L164" i="2"/>
  <c r="M164" i="2"/>
  <c r="N164" i="2"/>
  <c r="S164" i="2" s="1"/>
  <c r="T164" i="2" s="1"/>
  <c r="X164" i="2"/>
  <c r="Y164" i="2"/>
  <c r="F165" i="2"/>
  <c r="H165" i="2"/>
  <c r="L165" i="2"/>
  <c r="M165" i="2"/>
  <c r="N165" i="2"/>
  <c r="R165" i="2"/>
  <c r="W165" i="2"/>
  <c r="X165" i="2"/>
  <c r="Y165" i="2"/>
  <c r="F166" i="2"/>
  <c r="H166" i="2"/>
  <c r="R166" i="2" s="1"/>
  <c r="L166" i="2"/>
  <c r="M166" i="2"/>
  <c r="S166" i="2" s="1"/>
  <c r="T166" i="2" s="1"/>
  <c r="N166" i="2"/>
  <c r="X166" i="2"/>
  <c r="Y166" i="2"/>
  <c r="F167" i="2"/>
  <c r="H167" i="2"/>
  <c r="L167" i="2"/>
  <c r="M167" i="2"/>
  <c r="N167" i="2"/>
  <c r="V167" i="2" s="1"/>
  <c r="X167" i="2"/>
  <c r="Y167" i="2"/>
  <c r="F168" i="2"/>
  <c r="H168" i="2"/>
  <c r="V168" i="2" s="1"/>
  <c r="L168" i="2"/>
  <c r="M168" i="2"/>
  <c r="N168" i="2"/>
  <c r="X168" i="2"/>
  <c r="Y168" i="2"/>
  <c r="F169" i="2"/>
  <c r="H169" i="2"/>
  <c r="R169" i="2"/>
  <c r="L169" i="2"/>
  <c r="M169" i="2"/>
  <c r="N169" i="2"/>
  <c r="X169" i="2"/>
  <c r="Y169" i="2"/>
  <c r="F170" i="2"/>
  <c r="H170" i="2"/>
  <c r="L170" i="2"/>
  <c r="P170" i="2" s="1"/>
  <c r="Q170" i="2" s="1"/>
  <c r="M170" i="2"/>
  <c r="N170" i="2"/>
  <c r="X170" i="2"/>
  <c r="Y170" i="2"/>
  <c r="F171" i="2"/>
  <c r="H171" i="2"/>
  <c r="R171" i="2" s="1"/>
  <c r="L171" i="2"/>
  <c r="M171" i="2"/>
  <c r="U171" i="2" s="1"/>
  <c r="N171" i="2"/>
  <c r="X171" i="2"/>
  <c r="Y171" i="2"/>
  <c r="F172" i="2"/>
  <c r="H172" i="2"/>
  <c r="R172" i="2" s="1"/>
  <c r="L172" i="2"/>
  <c r="M172" i="2"/>
  <c r="N172" i="2"/>
  <c r="S172" i="2" s="1"/>
  <c r="T172" i="2" s="1"/>
  <c r="X172" i="2"/>
  <c r="Y172" i="2"/>
  <c r="F173" i="2"/>
  <c r="H173" i="2"/>
  <c r="R173" i="2" s="1"/>
  <c r="L173" i="2"/>
  <c r="M173" i="2"/>
  <c r="N173" i="2"/>
  <c r="S173" i="2"/>
  <c r="T173" i="2" s="1"/>
  <c r="X173" i="2"/>
  <c r="Y173" i="2"/>
  <c r="F174" i="2"/>
  <c r="H174" i="2"/>
  <c r="R174" i="2" s="1"/>
  <c r="L174" i="2"/>
  <c r="M174" i="2"/>
  <c r="N174" i="2"/>
  <c r="S174" i="2" s="1"/>
  <c r="T174" i="2" s="1"/>
  <c r="X174" i="2"/>
  <c r="Y174" i="2"/>
  <c r="F175" i="2"/>
  <c r="H175" i="2"/>
  <c r="R175" i="2" s="1"/>
  <c r="L175" i="2"/>
  <c r="P175" i="2" s="1"/>
  <c r="Q175" i="2" s="1"/>
  <c r="M175" i="2"/>
  <c r="N175" i="2"/>
  <c r="W175" i="2"/>
  <c r="X175" i="2"/>
  <c r="Y175" i="2"/>
  <c r="F176" i="2"/>
  <c r="H176" i="2"/>
  <c r="L176" i="2"/>
  <c r="P176" i="2" s="1"/>
  <c r="Q176" i="2" s="1"/>
  <c r="M176" i="2"/>
  <c r="N176" i="2"/>
  <c r="X176" i="2"/>
  <c r="Y176" i="2"/>
  <c r="F177" i="2"/>
  <c r="H177" i="2"/>
  <c r="L177" i="2"/>
  <c r="M177" i="2"/>
  <c r="N177" i="2"/>
  <c r="X177" i="2"/>
  <c r="Y177" i="2"/>
  <c r="F178" i="2"/>
  <c r="H178" i="2"/>
  <c r="R178" i="2" s="1"/>
  <c r="L178" i="2"/>
  <c r="M178" i="2"/>
  <c r="N178" i="2"/>
  <c r="X178" i="2"/>
  <c r="Y178" i="2"/>
  <c r="F179" i="2"/>
  <c r="H179" i="2"/>
  <c r="V179" i="2" s="1"/>
  <c r="L179" i="2"/>
  <c r="M179" i="2"/>
  <c r="N179" i="2"/>
  <c r="X179" i="2"/>
  <c r="Y179" i="2"/>
  <c r="F180" i="2"/>
  <c r="H180" i="2"/>
  <c r="R180" i="2"/>
  <c r="L180" i="2"/>
  <c r="M180" i="2"/>
  <c r="N180" i="2"/>
  <c r="X180" i="2"/>
  <c r="Y180" i="2"/>
  <c r="F181" i="2"/>
  <c r="H181" i="2"/>
  <c r="R181" i="2"/>
  <c r="L181" i="2"/>
  <c r="M181" i="2"/>
  <c r="N181" i="2"/>
  <c r="X181" i="2"/>
  <c r="Y181" i="2"/>
  <c r="F182" i="2"/>
  <c r="H182" i="2"/>
  <c r="R182" i="2" s="1"/>
  <c r="L182" i="2"/>
  <c r="P182" i="2" s="1"/>
  <c r="Q182" i="2" s="1"/>
  <c r="M182" i="2"/>
  <c r="N182" i="2"/>
  <c r="X182" i="2"/>
  <c r="Y182" i="2"/>
  <c r="F183" i="2"/>
  <c r="H183" i="2"/>
  <c r="L183" i="2"/>
  <c r="M183" i="2"/>
  <c r="S183" i="2" s="1"/>
  <c r="T183" i="2" s="1"/>
  <c r="N183" i="2"/>
  <c r="X183" i="2"/>
  <c r="Y183" i="2"/>
  <c r="F184" i="2"/>
  <c r="H184" i="2"/>
  <c r="R184" i="2" s="1"/>
  <c r="L184" i="2"/>
  <c r="M184" i="2"/>
  <c r="N184" i="2"/>
  <c r="S184" i="2" s="1"/>
  <c r="T184" i="2" s="1"/>
  <c r="X184" i="2"/>
  <c r="Y184" i="2"/>
  <c r="F185" i="2"/>
  <c r="H185" i="2"/>
  <c r="L185" i="2"/>
  <c r="M185" i="2"/>
  <c r="N185" i="2"/>
  <c r="W185" i="2"/>
  <c r="X185" i="2"/>
  <c r="Y185" i="2"/>
  <c r="F186" i="2"/>
  <c r="H186" i="2"/>
  <c r="V186" i="2" s="1"/>
  <c r="L186" i="2"/>
  <c r="M186" i="2"/>
  <c r="N186" i="2"/>
  <c r="R186" i="2"/>
  <c r="X186" i="2"/>
  <c r="Y186" i="2"/>
  <c r="F187" i="2"/>
  <c r="H187" i="2"/>
  <c r="L187" i="2"/>
  <c r="M187" i="2"/>
  <c r="N187" i="2"/>
  <c r="X187" i="2"/>
  <c r="Y187" i="2"/>
  <c r="F188" i="2"/>
  <c r="H188" i="2"/>
  <c r="R188" i="2" s="1"/>
  <c r="L188" i="2"/>
  <c r="M188" i="2"/>
  <c r="N188" i="2"/>
  <c r="X188" i="2"/>
  <c r="Y188" i="2"/>
  <c r="F189" i="2"/>
  <c r="H189" i="2"/>
  <c r="L189" i="2"/>
  <c r="M189" i="2"/>
  <c r="S189" i="2" s="1"/>
  <c r="T189" i="2" s="1"/>
  <c r="N189" i="2"/>
  <c r="X189" i="2"/>
  <c r="Y189" i="2"/>
  <c r="F190" i="2"/>
  <c r="H190" i="2"/>
  <c r="L190" i="2"/>
  <c r="P190" i="2" s="1"/>
  <c r="Q190" i="2" s="1"/>
  <c r="M190" i="2"/>
  <c r="N190" i="2"/>
  <c r="X190" i="2"/>
  <c r="Y190" i="2"/>
  <c r="F191" i="2"/>
  <c r="H191" i="2"/>
  <c r="R191" i="2" s="1"/>
  <c r="L191" i="2"/>
  <c r="M191" i="2"/>
  <c r="N191" i="2"/>
  <c r="X191" i="2"/>
  <c r="Y191" i="2"/>
  <c r="F192" i="2"/>
  <c r="H192" i="2"/>
  <c r="L192" i="2"/>
  <c r="M192" i="2"/>
  <c r="N192" i="2"/>
  <c r="V192" i="2" s="1"/>
  <c r="X192" i="2"/>
  <c r="Y192" i="2"/>
  <c r="F193" i="2"/>
  <c r="H193" i="2"/>
  <c r="L193" i="2"/>
  <c r="M193" i="2"/>
  <c r="U193" i="2" s="1"/>
  <c r="N193" i="2"/>
  <c r="X193" i="2"/>
  <c r="Y193" i="2"/>
  <c r="F194" i="2"/>
  <c r="H194" i="2"/>
  <c r="R194" i="2" s="1"/>
  <c r="L194" i="2"/>
  <c r="M194" i="2"/>
  <c r="N194" i="2"/>
  <c r="V194" i="2" s="1"/>
  <c r="X194" i="2"/>
  <c r="Y194" i="2"/>
  <c r="L13" i="3"/>
  <c r="AC15" i="3"/>
  <c r="AF19" i="3"/>
  <c r="AA20" i="3"/>
  <c r="AB20" i="3"/>
  <c r="AC20" i="3"/>
  <c r="AE20" i="3"/>
  <c r="AF20" i="3"/>
  <c r="AA21" i="3"/>
  <c r="AB21" i="3"/>
  <c r="AC21" i="3"/>
  <c r="AE21" i="3"/>
  <c r="AF21" i="3"/>
  <c r="AA22" i="3"/>
  <c r="AB22" i="3"/>
  <c r="AC22" i="3"/>
  <c r="AE22" i="3"/>
  <c r="AF22" i="3"/>
  <c r="AA23" i="3"/>
  <c r="AB23" i="3"/>
  <c r="AC23" i="3"/>
  <c r="AE23" i="3"/>
  <c r="AF23" i="3"/>
  <c r="AA24" i="3"/>
  <c r="AB24" i="3"/>
  <c r="AC24" i="3"/>
  <c r="AE24" i="3"/>
  <c r="AF24" i="3"/>
  <c r="AA25" i="3"/>
  <c r="AB25" i="3"/>
  <c r="AC25" i="3"/>
  <c r="AE25" i="3"/>
  <c r="AF25" i="3"/>
  <c r="AA26" i="3"/>
  <c r="AB26" i="3"/>
  <c r="AC26" i="3"/>
  <c r="AE26" i="3"/>
  <c r="AF26" i="3"/>
  <c r="AA27" i="3"/>
  <c r="AB27" i="3"/>
  <c r="AC27" i="3"/>
  <c r="AE27" i="3"/>
  <c r="AF27" i="3"/>
  <c r="AA28" i="3"/>
  <c r="AB28" i="3"/>
  <c r="AC28" i="3"/>
  <c r="AE28" i="3"/>
  <c r="AF28" i="3"/>
  <c r="AB30" i="3"/>
  <c r="AE30" i="3"/>
  <c r="AF30" i="3"/>
  <c r="AB31" i="3"/>
  <c r="AE31" i="3"/>
  <c r="AF31" i="3"/>
  <c r="AA33" i="3"/>
  <c r="AB33" i="3"/>
  <c r="AC33" i="3"/>
  <c r="AE33" i="3"/>
  <c r="AF33" i="3"/>
  <c r="AA34" i="3"/>
  <c r="AB34" i="3"/>
  <c r="AC34" i="3"/>
  <c r="AE34" i="3"/>
  <c r="AF34" i="3"/>
  <c r="AA35" i="3"/>
  <c r="AB35" i="3"/>
  <c r="AC35" i="3"/>
  <c r="AE35" i="3"/>
  <c r="AF35" i="3"/>
  <c r="AA36" i="3"/>
  <c r="AB36" i="3"/>
  <c r="AC36" i="3"/>
  <c r="AE36" i="3"/>
  <c r="AF36" i="3"/>
  <c r="AA37" i="3"/>
  <c r="AB37" i="3"/>
  <c r="AC37" i="3"/>
  <c r="AE37" i="3"/>
  <c r="AF37" i="3"/>
  <c r="AA38" i="3"/>
  <c r="AB38" i="3"/>
  <c r="AC38" i="3"/>
  <c r="AE38" i="3"/>
  <c r="AF38" i="3"/>
  <c r="AA39" i="3"/>
  <c r="AB39" i="3"/>
  <c r="AC39" i="3"/>
  <c r="AE39" i="3"/>
  <c r="AF39" i="3"/>
  <c r="AA40" i="3"/>
  <c r="AB40" i="3"/>
  <c r="AC40" i="3"/>
  <c r="AE40" i="3"/>
  <c r="AF40" i="3"/>
  <c r="AA41" i="3"/>
  <c r="AB41" i="3"/>
  <c r="AC41" i="3"/>
  <c r="AE41" i="3"/>
  <c r="AF41" i="3"/>
  <c r="AA42" i="3"/>
  <c r="AB42" i="3"/>
  <c r="AC42" i="3"/>
  <c r="AE42" i="3"/>
  <c r="AF42" i="3"/>
  <c r="AA43" i="3"/>
  <c r="AB43" i="3"/>
  <c r="AC43" i="3"/>
  <c r="AE43" i="3"/>
  <c r="AF43" i="3"/>
  <c r="H44" i="3"/>
  <c r="AA44" i="3"/>
  <c r="AB44" i="3"/>
  <c r="AC44" i="3"/>
  <c r="AE44" i="3"/>
  <c r="AF44" i="3"/>
  <c r="M45" i="3"/>
  <c r="T45" i="3"/>
  <c r="Y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H52" i="3"/>
  <c r="AA52" i="3"/>
  <c r="AB52" i="3"/>
  <c r="H53" i="3"/>
  <c r="AA53" i="3"/>
  <c r="AB53" i="3"/>
  <c r="H54" i="3"/>
  <c r="AA54" i="3"/>
  <c r="AB54" i="3"/>
  <c r="H55" i="3"/>
  <c r="Q55" i="3" s="1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H62" i="3"/>
  <c r="AA62" i="3"/>
  <c r="AB62" i="3"/>
  <c r="H63" i="3"/>
  <c r="Q63" i="3" s="1"/>
  <c r="AA63" i="3"/>
  <c r="AB63" i="3"/>
  <c r="H64" i="3"/>
  <c r="Q64" i="3" s="1"/>
  <c r="AA64" i="3"/>
  <c r="AB64" i="3"/>
  <c r="H65" i="3"/>
  <c r="Q65" i="3" s="1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H72" i="3"/>
  <c r="AA72" i="3"/>
  <c r="AB72" i="3"/>
  <c r="H73" i="3"/>
  <c r="Q73" i="3" s="1"/>
  <c r="AA73" i="3"/>
  <c r="AB73" i="3"/>
  <c r="H74" i="3"/>
  <c r="AA74" i="3"/>
  <c r="AB74" i="3"/>
  <c r="H75" i="3"/>
  <c r="AA75" i="3"/>
  <c r="AB75" i="3"/>
  <c r="H76" i="3"/>
  <c r="AA76" i="3"/>
  <c r="AB76" i="3"/>
  <c r="H77" i="3"/>
  <c r="Q77" i="3" s="1"/>
  <c r="AA77" i="3"/>
  <c r="AB77" i="3"/>
  <c r="H78" i="3"/>
  <c r="AA78" i="3"/>
  <c r="AB78" i="3"/>
  <c r="H79" i="3"/>
  <c r="Q79" i="3" s="1"/>
  <c r="AA79" i="3"/>
  <c r="AB79" i="3"/>
  <c r="H80" i="3"/>
  <c r="AA80" i="3"/>
  <c r="AB80" i="3"/>
  <c r="H81" i="3"/>
  <c r="Q81" i="3" s="1"/>
  <c r="AA81" i="3"/>
  <c r="AB81" i="3"/>
  <c r="H82" i="3"/>
  <c r="AA82" i="3"/>
  <c r="AB82" i="3"/>
  <c r="H83" i="3"/>
  <c r="Q83" i="3" s="1"/>
  <c r="AA83" i="3"/>
  <c r="AB83" i="3"/>
  <c r="H84" i="3"/>
  <c r="AA84" i="3"/>
  <c r="AB84" i="3"/>
  <c r="H85" i="3"/>
  <c r="Q85" i="3" s="1"/>
  <c r="AA85" i="3"/>
  <c r="AB85" i="3"/>
  <c r="H86" i="3"/>
  <c r="AA86" i="3"/>
  <c r="AB86" i="3"/>
  <c r="H87" i="3"/>
  <c r="Q87" i="3" s="1"/>
  <c r="AA87" i="3"/>
  <c r="AB87" i="3"/>
  <c r="H88" i="3"/>
  <c r="Q88" i="3" s="1"/>
  <c r="AA88" i="3"/>
  <c r="AB88" i="3"/>
  <c r="H89" i="3"/>
  <c r="Q89" i="3" s="1"/>
  <c r="AA89" i="3"/>
  <c r="AB89" i="3"/>
  <c r="H90" i="3"/>
  <c r="Q90" i="3" s="1"/>
  <c r="AA90" i="3"/>
  <c r="AB90" i="3"/>
  <c r="H91" i="3"/>
  <c r="Q91" i="3" s="1"/>
  <c r="AA91" i="3"/>
  <c r="AB91" i="3"/>
  <c r="H92" i="3"/>
  <c r="AA92" i="3"/>
  <c r="AB92" i="3"/>
  <c r="H93" i="3"/>
  <c r="Q93" i="3" s="1"/>
  <c r="AA93" i="3"/>
  <c r="AB93" i="3"/>
  <c r="H94" i="3"/>
  <c r="Q94" i="3" s="1"/>
  <c r="AA94" i="3"/>
  <c r="AB94" i="3"/>
  <c r="H95" i="3"/>
  <c r="Q95" i="3" s="1"/>
  <c r="AA95" i="3"/>
  <c r="AB95" i="3"/>
  <c r="H96" i="3"/>
  <c r="Q96" i="3" s="1"/>
  <c r="AA96" i="3"/>
  <c r="AB96" i="3"/>
  <c r="H97" i="3"/>
  <c r="Q97" i="3" s="1"/>
  <c r="AA97" i="3"/>
  <c r="AB97" i="3"/>
  <c r="H98" i="3"/>
  <c r="Q98" i="3" s="1"/>
  <c r="AA98" i="3"/>
  <c r="AB98" i="3"/>
  <c r="H99" i="3"/>
  <c r="Q99" i="3" s="1"/>
  <c r="AA99" i="3"/>
  <c r="AB99" i="3"/>
  <c r="H100" i="3"/>
  <c r="Q100" i="3" s="1"/>
  <c r="AA100" i="3"/>
  <c r="AB100" i="3"/>
  <c r="H101" i="3"/>
  <c r="Q101" i="3" s="1"/>
  <c r="AA101" i="3"/>
  <c r="AB101" i="3"/>
  <c r="H102" i="3"/>
  <c r="Q102" i="3" s="1"/>
  <c r="AA102" i="3"/>
  <c r="AB102" i="3"/>
  <c r="H103" i="3"/>
  <c r="Q103" i="3" s="1"/>
  <c r="AA103" i="3"/>
  <c r="AB103" i="3"/>
  <c r="H104" i="3"/>
  <c r="AA104" i="3"/>
  <c r="AB104" i="3"/>
  <c r="H105" i="3"/>
  <c r="Q105" i="3" s="1"/>
  <c r="AA105" i="3"/>
  <c r="AB105" i="3"/>
  <c r="H106" i="3"/>
  <c r="AA106" i="3"/>
  <c r="AB106" i="3"/>
  <c r="H107" i="3"/>
  <c r="Q107" i="3" s="1"/>
  <c r="AA107" i="3"/>
  <c r="AB107" i="3"/>
  <c r="H108" i="3"/>
  <c r="Q108" i="3" s="1"/>
  <c r="AA108" i="3"/>
  <c r="AB108" i="3"/>
  <c r="H109" i="3"/>
  <c r="AA109" i="3"/>
  <c r="AB109" i="3"/>
  <c r="H110" i="3"/>
  <c r="AA110" i="3"/>
  <c r="AB110" i="3"/>
  <c r="H111" i="3"/>
  <c r="Q111" i="3" s="1"/>
  <c r="AA111" i="3"/>
  <c r="AB111" i="3"/>
  <c r="H112" i="3"/>
  <c r="AA112" i="3"/>
  <c r="AB112" i="3"/>
  <c r="H113" i="3"/>
  <c r="Q113" i="3" s="1"/>
  <c r="AA113" i="3"/>
  <c r="AB113" i="3"/>
  <c r="H114" i="3"/>
  <c r="Q114" i="3" s="1"/>
  <c r="AA114" i="3"/>
  <c r="AB114" i="3"/>
  <c r="H115" i="3"/>
  <c r="Q115" i="3" s="1"/>
  <c r="AA115" i="3"/>
  <c r="AB115" i="3"/>
  <c r="H116" i="3"/>
  <c r="AA116" i="3"/>
  <c r="AB116" i="3"/>
  <c r="H117" i="3"/>
  <c r="AA117" i="3"/>
  <c r="AB117" i="3"/>
  <c r="H118" i="3"/>
  <c r="AA118" i="3"/>
  <c r="AB118" i="3"/>
  <c r="H119" i="3"/>
  <c r="Q119" i="3" s="1"/>
  <c r="AA119" i="3"/>
  <c r="AB119" i="3"/>
  <c r="H120" i="3"/>
  <c r="Q120" i="3" s="1"/>
  <c r="AA120" i="3"/>
  <c r="AB120" i="3"/>
  <c r="H121" i="3"/>
  <c r="AA121" i="3"/>
  <c r="AB121" i="3"/>
  <c r="H122" i="3"/>
  <c r="Q122" i="3" s="1"/>
  <c r="AA122" i="3"/>
  <c r="AB122" i="3"/>
  <c r="H123" i="3"/>
  <c r="Q123" i="3" s="1"/>
  <c r="AA123" i="3"/>
  <c r="AB123" i="3"/>
  <c r="H124" i="3"/>
  <c r="Q124" i="3" s="1"/>
  <c r="AA124" i="3"/>
  <c r="AB124" i="3"/>
  <c r="H125" i="3"/>
  <c r="Q125" i="3" s="1"/>
  <c r="AA125" i="3"/>
  <c r="AB125" i="3"/>
  <c r="H126" i="3"/>
  <c r="AA126" i="3"/>
  <c r="AB126" i="3"/>
  <c r="H127" i="3"/>
  <c r="Q127" i="3" s="1"/>
  <c r="AA127" i="3"/>
  <c r="AB127" i="3"/>
  <c r="H128" i="3"/>
  <c r="AA128" i="3"/>
  <c r="AB128" i="3"/>
  <c r="H129" i="3"/>
  <c r="Q129" i="3" s="1"/>
  <c r="AA129" i="3"/>
  <c r="AB129" i="3"/>
  <c r="H130" i="3"/>
  <c r="AA130" i="3"/>
  <c r="AB130" i="3"/>
  <c r="H131" i="3"/>
  <c r="Q131" i="3" s="1"/>
  <c r="AA131" i="3"/>
  <c r="AB131" i="3"/>
  <c r="H132" i="3"/>
  <c r="Q132" i="3" s="1"/>
  <c r="AA132" i="3"/>
  <c r="AB132" i="3"/>
  <c r="H133" i="3"/>
  <c r="AA133" i="3"/>
  <c r="AB133" i="3"/>
  <c r="H134" i="3"/>
  <c r="AA134" i="3"/>
  <c r="AB134" i="3"/>
  <c r="H135" i="3"/>
  <c r="Q135" i="3" s="1"/>
  <c r="AA135" i="3"/>
  <c r="AB135" i="3"/>
  <c r="H136" i="3"/>
  <c r="Q136" i="3" s="1"/>
  <c r="AA136" i="3"/>
  <c r="AB136" i="3"/>
  <c r="H137" i="3"/>
  <c r="AA137" i="3"/>
  <c r="AB137" i="3"/>
  <c r="H138" i="3"/>
  <c r="Q138" i="3" s="1"/>
  <c r="AA138" i="3"/>
  <c r="AB138" i="3"/>
  <c r="H139" i="3"/>
  <c r="AA139" i="3"/>
  <c r="AB139" i="3"/>
  <c r="H140" i="3"/>
  <c r="Q140" i="3" s="1"/>
  <c r="AA140" i="3"/>
  <c r="AB140" i="3"/>
  <c r="H141" i="3"/>
  <c r="Q141" i="3" s="1"/>
  <c r="AA141" i="3"/>
  <c r="AB141" i="3"/>
  <c r="H142" i="3"/>
  <c r="Q142" i="3" s="1"/>
  <c r="AA142" i="3"/>
  <c r="AB142" i="3"/>
  <c r="H143" i="3"/>
  <c r="Q143" i="3" s="1"/>
  <c r="AA143" i="3"/>
  <c r="AB143" i="3"/>
  <c r="H144" i="3"/>
  <c r="AA144" i="3"/>
  <c r="AB144" i="3"/>
  <c r="H145" i="3"/>
  <c r="AA145" i="3"/>
  <c r="AB145" i="3"/>
  <c r="H146" i="3"/>
  <c r="Q146" i="3" s="1"/>
  <c r="AA146" i="3"/>
  <c r="AB146" i="3"/>
  <c r="H147" i="3"/>
  <c r="Q147" i="3" s="1"/>
  <c r="AA147" i="3"/>
  <c r="AB147" i="3"/>
  <c r="H148" i="3"/>
  <c r="AA148" i="3"/>
  <c r="AB148" i="3"/>
  <c r="H149" i="3"/>
  <c r="AA149" i="3"/>
  <c r="AB149" i="3"/>
  <c r="H150" i="3"/>
  <c r="AA150" i="3"/>
  <c r="AB150" i="3"/>
  <c r="H151" i="3"/>
  <c r="AA151" i="3"/>
  <c r="AB151" i="3"/>
  <c r="H152" i="3"/>
  <c r="AA152" i="3"/>
  <c r="AB152" i="3"/>
  <c r="H153" i="3"/>
  <c r="Q153" i="3" s="1"/>
  <c r="AA153" i="3"/>
  <c r="AB153" i="3"/>
  <c r="H154" i="3"/>
  <c r="Q154" i="3" s="1"/>
  <c r="AA154" i="3"/>
  <c r="AB154" i="3"/>
  <c r="H155" i="3"/>
  <c r="AA155" i="3"/>
  <c r="AB155" i="3"/>
  <c r="H156" i="3"/>
  <c r="Q156" i="3" s="1"/>
  <c r="AA156" i="3"/>
  <c r="AB156" i="3"/>
  <c r="H157" i="3"/>
  <c r="Q157" i="3" s="1"/>
  <c r="AA157" i="3"/>
  <c r="AB157" i="3"/>
  <c r="H158" i="3"/>
  <c r="Q158" i="3" s="1"/>
  <c r="AA158" i="3"/>
  <c r="AB158" i="3"/>
  <c r="H159" i="3"/>
  <c r="AA159" i="3"/>
  <c r="AB159" i="3"/>
  <c r="H160" i="3"/>
  <c r="Q160" i="3" s="1"/>
  <c r="AA160" i="3"/>
  <c r="AB160" i="3"/>
  <c r="H161" i="3"/>
  <c r="Q161" i="3" s="1"/>
  <c r="AA161" i="3"/>
  <c r="AB161" i="3"/>
  <c r="H162" i="3"/>
  <c r="Q162" i="3" s="1"/>
  <c r="AA162" i="3"/>
  <c r="AB162" i="3"/>
  <c r="H163" i="3"/>
  <c r="Q163" i="3" s="1"/>
  <c r="AA163" i="3"/>
  <c r="AB163" i="3"/>
  <c r="H164" i="3"/>
  <c r="Q164" i="3" s="1"/>
  <c r="AA164" i="3"/>
  <c r="AB164" i="3"/>
  <c r="H165" i="3"/>
  <c r="Q165" i="3" s="1"/>
  <c r="AA165" i="3"/>
  <c r="AB165" i="3"/>
  <c r="H166" i="3"/>
  <c r="Q166" i="3" s="1"/>
  <c r="AA166" i="3"/>
  <c r="AB166" i="3"/>
  <c r="H167" i="3"/>
  <c r="AA167" i="3"/>
  <c r="AB167" i="3"/>
  <c r="H168" i="3"/>
  <c r="Q168" i="3" s="1"/>
  <c r="AA168" i="3"/>
  <c r="AB168" i="3"/>
  <c r="H169" i="3"/>
  <c r="Q169" i="3" s="1"/>
  <c r="AA169" i="3"/>
  <c r="AB169" i="3"/>
  <c r="H170" i="3"/>
  <c r="AA170" i="3"/>
  <c r="AB170" i="3"/>
  <c r="H171" i="3"/>
  <c r="Q171" i="3" s="1"/>
  <c r="AA171" i="3"/>
  <c r="AB171" i="3"/>
  <c r="H172" i="3"/>
  <c r="AA172" i="3"/>
  <c r="AB172" i="3"/>
  <c r="H173" i="3"/>
  <c r="Q173" i="3" s="1"/>
  <c r="AA173" i="3"/>
  <c r="AB173" i="3"/>
  <c r="H174" i="3"/>
  <c r="Q174" i="3" s="1"/>
  <c r="AA174" i="3"/>
  <c r="AB174" i="3"/>
  <c r="H175" i="3"/>
  <c r="AA175" i="3"/>
  <c r="AB175" i="3"/>
  <c r="H176" i="3"/>
  <c r="AA176" i="3"/>
  <c r="AB176" i="3"/>
  <c r="H177" i="3"/>
  <c r="AA177" i="3"/>
  <c r="AB177" i="3"/>
  <c r="H178" i="3"/>
  <c r="Q178" i="3" s="1"/>
  <c r="AA178" i="3"/>
  <c r="AB178" i="3"/>
  <c r="H179" i="3"/>
  <c r="AA179" i="3"/>
  <c r="AB179" i="3"/>
  <c r="H180" i="3"/>
  <c r="AA180" i="3"/>
  <c r="AB180" i="3"/>
  <c r="H181" i="3"/>
  <c r="AA181" i="3"/>
  <c r="AB181" i="3"/>
  <c r="H182" i="3"/>
  <c r="Q182" i="3" s="1"/>
  <c r="AA182" i="3"/>
  <c r="AB182" i="3"/>
  <c r="H183" i="3"/>
  <c r="AA183" i="3"/>
  <c r="AB183" i="3"/>
  <c r="H184" i="3"/>
  <c r="Q184" i="3" s="1"/>
  <c r="AA184" i="3"/>
  <c r="AB184" i="3"/>
  <c r="H185" i="3"/>
  <c r="Q185" i="3" s="1"/>
  <c r="AA185" i="3"/>
  <c r="AB185" i="3"/>
  <c r="H186" i="3"/>
  <c r="Q186" i="3" s="1"/>
  <c r="AA186" i="3"/>
  <c r="AB186" i="3"/>
  <c r="H187" i="3"/>
  <c r="Q187" i="3" s="1"/>
  <c r="AA187" i="3"/>
  <c r="AB187" i="3"/>
  <c r="H188" i="3"/>
  <c r="Q188" i="3" s="1"/>
  <c r="AA188" i="3"/>
  <c r="AB188" i="3"/>
  <c r="H189" i="3"/>
  <c r="Q189" i="3" s="1"/>
  <c r="AA189" i="3"/>
  <c r="AB189" i="3"/>
  <c r="H190" i="3"/>
  <c r="Q190" i="3" s="1"/>
  <c r="AA190" i="3"/>
  <c r="AB190" i="3"/>
  <c r="H191" i="3"/>
  <c r="Q191" i="3" s="1"/>
  <c r="AA191" i="3"/>
  <c r="AB191" i="3"/>
  <c r="H192" i="3"/>
  <c r="AA192" i="3"/>
  <c r="AB192" i="3"/>
  <c r="H193" i="3"/>
  <c r="Q193" i="3" s="1"/>
  <c r="AA193" i="3"/>
  <c r="AB193" i="3"/>
  <c r="H194" i="3"/>
  <c r="Q194" i="3" s="1"/>
  <c r="AA194" i="3"/>
  <c r="AB194" i="3"/>
  <c r="H195" i="3"/>
  <c r="Q195" i="3" s="1"/>
  <c r="AA195" i="3"/>
  <c r="AB195" i="3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V38" i="3" s="1"/>
  <c r="J13" i="5"/>
  <c r="I18" i="5" s="1"/>
  <c r="M13" i="5"/>
  <c r="L28" i="5" s="1"/>
  <c r="D13" i="5"/>
  <c r="R103" i="2"/>
  <c r="R16" i="2"/>
  <c r="H45" i="2"/>
  <c r="R45" i="2" s="1"/>
  <c r="T64" i="4"/>
  <c r="Y22" i="4"/>
  <c r="T22" i="4"/>
  <c r="H65" i="2"/>
  <c r="R65" i="2"/>
  <c r="X60" i="4"/>
  <c r="Y60" i="4"/>
  <c r="Z60" i="4" s="1"/>
  <c r="X34" i="4"/>
  <c r="X49" i="4"/>
  <c r="S49" i="4"/>
  <c r="T21" i="4"/>
  <c r="U21" i="4"/>
  <c r="V21" i="4" s="1"/>
  <c r="X59" i="4"/>
  <c r="AA38" i="4"/>
  <c r="T23" i="4"/>
  <c r="X23" i="4"/>
  <c r="Y23" i="4"/>
  <c r="Y31" i="4"/>
  <c r="Y26" i="4"/>
  <c r="W38" i="4"/>
  <c r="S143" i="2"/>
  <c r="T143" i="2" s="1"/>
  <c r="V137" i="2"/>
  <c r="S29" i="2"/>
  <c r="T29" i="2" s="1"/>
  <c r="U75" i="4"/>
  <c r="X53" i="4"/>
  <c r="V138" i="2"/>
  <c r="V105" i="2"/>
  <c r="S75" i="4"/>
  <c r="T74" i="4"/>
  <c r="S74" i="4"/>
  <c r="AA74" i="4"/>
  <c r="S28" i="4"/>
  <c r="X24" i="4"/>
  <c r="T24" i="4"/>
  <c r="U23" i="4"/>
  <c r="V23" i="4" s="1"/>
  <c r="V151" i="2"/>
  <c r="X75" i="4"/>
  <c r="R92" i="2"/>
  <c r="S157" i="2"/>
  <c r="T157" i="2" s="1"/>
  <c r="U146" i="2"/>
  <c r="S146" i="2"/>
  <c r="T146" i="2" s="1"/>
  <c r="S124" i="2"/>
  <c r="T124" i="2"/>
  <c r="U111" i="2"/>
  <c r="S44" i="4"/>
  <c r="V181" i="2"/>
  <c r="S107" i="2"/>
  <c r="T107" i="2" s="1"/>
  <c r="U100" i="2"/>
  <c r="S96" i="2"/>
  <c r="T96" i="2" s="1"/>
  <c r="T51" i="4"/>
  <c r="Z37" i="4"/>
  <c r="U169" i="2"/>
  <c r="V69" i="2"/>
  <c r="S49" i="2"/>
  <c r="T49" i="2" s="1"/>
  <c r="S39" i="2"/>
  <c r="T39" i="2" s="1"/>
  <c r="T48" i="4"/>
  <c r="V48" i="4" s="1"/>
  <c r="C25" i="5"/>
  <c r="U179" i="2"/>
  <c r="S170" i="2"/>
  <c r="T170" i="2" s="1"/>
  <c r="V111" i="2"/>
  <c r="U83" i="2"/>
  <c r="V67" i="2"/>
  <c r="S61" i="2"/>
  <c r="T61" i="2" s="1"/>
  <c r="U42" i="2"/>
  <c r="K57" i="4"/>
  <c r="Q57" i="4" s="1"/>
  <c r="R57" i="4" s="1"/>
  <c r="AA49" i="4"/>
  <c r="R47" i="2"/>
  <c r="U135" i="2"/>
  <c r="V144" i="2"/>
  <c r="S147" i="2"/>
  <c r="T147" i="2" s="1"/>
  <c r="S113" i="2"/>
  <c r="T113" i="2" s="1"/>
  <c r="S100" i="2"/>
  <c r="T100" i="2"/>
  <c r="U86" i="2"/>
  <c r="U85" i="2"/>
  <c r="U67" i="2"/>
  <c r="U181" i="2"/>
  <c r="U152" i="2"/>
  <c r="U94" i="2"/>
  <c r="S69" i="2"/>
  <c r="T69" i="2"/>
  <c r="S60" i="2"/>
  <c r="T60" i="2" s="1"/>
  <c r="U107" i="2"/>
  <c r="U71" i="2"/>
  <c r="S94" i="2"/>
  <c r="T94" i="2" s="1"/>
  <c r="V182" i="2"/>
  <c r="U168" i="2"/>
  <c r="U141" i="2"/>
  <c r="U120" i="2"/>
  <c r="V97" i="2"/>
  <c r="S81" i="2"/>
  <c r="T81" i="2" s="1"/>
  <c r="U64" i="2"/>
  <c r="U60" i="2"/>
  <c r="U48" i="2"/>
  <c r="K66" i="4"/>
  <c r="Q66" i="4" s="1"/>
  <c r="R66" i="4" s="1"/>
  <c r="H27" i="5"/>
  <c r="S58" i="4"/>
  <c r="S34" i="4"/>
  <c r="AA76" i="4"/>
  <c r="V131" i="2"/>
  <c r="V68" i="2"/>
  <c r="R111" i="2"/>
  <c r="R167" i="2"/>
  <c r="V180" i="2"/>
  <c r="V175" i="2"/>
  <c r="V40" i="2"/>
  <c r="V135" i="2"/>
  <c r="R96" i="2"/>
  <c r="V126" i="2"/>
  <c r="V191" i="2"/>
  <c r="V162" i="2"/>
  <c r="V156" i="2"/>
  <c r="V98" i="2"/>
  <c r="R127" i="2"/>
  <c r="V166" i="2"/>
  <c r="U29" i="2"/>
  <c r="U32" i="2"/>
  <c r="V27" i="2"/>
  <c r="L25" i="2"/>
  <c r="L35" i="2"/>
  <c r="R145" i="2"/>
  <c r="V51" i="2"/>
  <c r="H25" i="2"/>
  <c r="AA66" i="4"/>
  <c r="T57" i="4"/>
  <c r="H21" i="2"/>
  <c r="R21" i="2" s="1"/>
  <c r="V52" i="2"/>
  <c r="R140" i="2"/>
  <c r="U175" i="2"/>
  <c r="S175" i="2"/>
  <c r="T175" i="2" s="1"/>
  <c r="R190" i="2"/>
  <c r="U186" i="2"/>
  <c r="U182" i="2"/>
  <c r="S182" i="2"/>
  <c r="T182" i="2" s="1"/>
  <c r="U153" i="2"/>
  <c r="V61" i="2"/>
  <c r="H23" i="2"/>
  <c r="R23" i="2" s="1"/>
  <c r="T72" i="4"/>
  <c r="Y71" i="4"/>
  <c r="AA63" i="4"/>
  <c r="T44" i="4"/>
  <c r="X44" i="4"/>
  <c r="X22" i="4"/>
  <c r="T20" i="4"/>
  <c r="X20" i="4"/>
  <c r="Y20" i="4"/>
  <c r="H23" i="4"/>
  <c r="S23" i="4" s="1"/>
  <c r="H22" i="2"/>
  <c r="R22" i="2" s="1"/>
  <c r="U57" i="2"/>
  <c r="H24" i="2"/>
  <c r="U22" i="4"/>
  <c r="V30" i="2"/>
  <c r="U69" i="2"/>
  <c r="U49" i="2"/>
  <c r="V171" i="2"/>
  <c r="S186" i="2"/>
  <c r="T186" i="2" s="1"/>
  <c r="S86" i="2"/>
  <c r="T86" i="2" s="1"/>
  <c r="V129" i="2"/>
  <c r="E26" i="5"/>
  <c r="H70" i="3"/>
  <c r="R192" i="2"/>
  <c r="U188" i="2"/>
  <c r="R177" i="2"/>
  <c r="V177" i="2"/>
  <c r="U143" i="2"/>
  <c r="U116" i="2"/>
  <c r="R115" i="2"/>
  <c r="R107" i="2"/>
  <c r="V107" i="2"/>
  <c r="S104" i="2"/>
  <c r="T104" i="2" s="1"/>
  <c r="S38" i="2"/>
  <c r="T38" i="2" s="1"/>
  <c r="H37" i="2"/>
  <c r="R37" i="2" s="1"/>
  <c r="X61" i="4"/>
  <c r="AA61" i="4"/>
  <c r="S61" i="4"/>
  <c r="U58" i="4"/>
  <c r="U51" i="4"/>
  <c r="V51" i="4" s="1"/>
  <c r="AA24" i="4"/>
  <c r="Y24" i="4"/>
  <c r="H20" i="4"/>
  <c r="H22" i="4"/>
  <c r="Y61" i="4"/>
  <c r="L24" i="2"/>
  <c r="S63" i="4"/>
  <c r="AA43" i="4"/>
  <c r="S64" i="2"/>
  <c r="T64" i="2" s="1"/>
  <c r="AA26" i="4"/>
  <c r="U104" i="2"/>
  <c r="L36" i="2"/>
  <c r="V42" i="2"/>
  <c r="R97" i="2"/>
  <c r="V169" i="2"/>
  <c r="R176" i="2"/>
  <c r="C28" i="5"/>
  <c r="U173" i="2"/>
  <c r="U170" i="2"/>
  <c r="R154" i="2"/>
  <c r="T153" i="2"/>
  <c r="R147" i="2"/>
  <c r="U144" i="2"/>
  <c r="V87" i="2"/>
  <c r="V82" i="2"/>
  <c r="H56" i="2"/>
  <c r="V49" i="2"/>
  <c r="S48" i="2"/>
  <c r="T48" i="2" s="1"/>
  <c r="X74" i="4"/>
  <c r="Z74" i="4" s="1"/>
  <c r="U74" i="4"/>
  <c r="V74" i="4" s="1"/>
  <c r="S59" i="4"/>
  <c r="AA59" i="4"/>
  <c r="T52" i="4"/>
  <c r="Y52" i="4"/>
  <c r="X52" i="4"/>
  <c r="X51" i="4"/>
  <c r="X50" i="4"/>
  <c r="Z50" i="4" s="1"/>
  <c r="AA50" i="4"/>
  <c r="S47" i="4"/>
  <c r="AA47" i="4"/>
  <c r="AA37" i="4"/>
  <c r="AA32" i="4"/>
  <c r="Y21" i="4"/>
  <c r="X21" i="4"/>
  <c r="S179" i="2"/>
  <c r="T179" i="2" s="1"/>
  <c r="S169" i="2"/>
  <c r="T169" i="2" s="1"/>
  <c r="S160" i="2"/>
  <c r="T160" i="2" s="1"/>
  <c r="U138" i="2"/>
  <c r="U136" i="2"/>
  <c r="S118" i="2"/>
  <c r="T118" i="2" s="1"/>
  <c r="R74" i="2"/>
  <c r="S54" i="2"/>
  <c r="T54" i="2" s="1"/>
  <c r="S40" i="2"/>
  <c r="T40" i="2"/>
  <c r="U40" i="2"/>
  <c r="V38" i="2"/>
  <c r="S51" i="4"/>
  <c r="W51" i="4" s="1"/>
  <c r="AA51" i="4"/>
  <c r="S48" i="4"/>
  <c r="S41" i="4"/>
  <c r="S123" i="2"/>
  <c r="T123" i="2" s="1"/>
  <c r="U87" i="2"/>
  <c r="S77" i="2"/>
  <c r="T77" i="2" s="1"/>
  <c r="U68" i="2"/>
  <c r="S68" i="2"/>
  <c r="T68" i="2" s="1"/>
  <c r="S66" i="2"/>
  <c r="T66" i="2" s="1"/>
  <c r="S52" i="2"/>
  <c r="T52" i="2" s="1"/>
  <c r="Y56" i="4"/>
  <c r="T50" i="4"/>
  <c r="T45" i="4"/>
  <c r="Y75" i="4"/>
  <c r="K69" i="4"/>
  <c r="Q69" i="4" s="1"/>
  <c r="R69" i="4" s="1"/>
  <c r="U60" i="4"/>
  <c r="AA52" i="4"/>
  <c r="Z48" i="4"/>
  <c r="V113" i="2"/>
  <c r="R113" i="2"/>
  <c r="H34" i="2"/>
  <c r="I21" i="4"/>
  <c r="I22" i="4"/>
  <c r="I23" i="4"/>
  <c r="I20" i="4"/>
  <c r="D26" i="5"/>
  <c r="D29" i="5"/>
  <c r="G20" i="5"/>
  <c r="E20" i="5"/>
  <c r="E21" i="5"/>
  <c r="D25" i="5"/>
  <c r="H23" i="5"/>
  <c r="G22" i="5"/>
  <c r="H20" i="5"/>
  <c r="C29" i="5"/>
  <c r="D21" i="5"/>
  <c r="C22" i="5"/>
  <c r="D20" i="5"/>
  <c r="V146" i="2"/>
  <c r="R146" i="2"/>
  <c r="AA21" i="4"/>
  <c r="H71" i="3"/>
  <c r="Q71" i="3" s="1"/>
  <c r="H69" i="3"/>
  <c r="Q69" i="3" s="1"/>
  <c r="U176" i="2"/>
  <c r="S176" i="2"/>
  <c r="T176" i="2" s="1"/>
  <c r="V117" i="2"/>
  <c r="H36" i="2"/>
  <c r="R36" i="2" s="1"/>
  <c r="H35" i="2"/>
  <c r="H33" i="2"/>
  <c r="H32" i="2"/>
  <c r="L16" i="2" s="1"/>
  <c r="P14" i="2" s="1"/>
  <c r="S158" i="2"/>
  <c r="T158" i="2" s="1"/>
  <c r="U158" i="2"/>
  <c r="V150" i="2"/>
  <c r="S151" i="2"/>
  <c r="T151" i="2" s="1"/>
  <c r="U151" i="2"/>
  <c r="V183" i="2"/>
  <c r="R183" i="2"/>
  <c r="V170" i="2"/>
  <c r="R170" i="2"/>
  <c r="V159" i="2"/>
  <c r="S159" i="2"/>
  <c r="T159" i="2" s="1"/>
  <c r="R119" i="2"/>
  <c r="V119" i="2"/>
  <c r="S90" i="2"/>
  <c r="T90" i="2" s="1"/>
  <c r="U90" i="2"/>
  <c r="S180" i="2"/>
  <c r="T180" i="2"/>
  <c r="R152" i="2"/>
  <c r="S127" i="2"/>
  <c r="T127" i="2" s="1"/>
  <c r="V161" i="2"/>
  <c r="R161" i="2"/>
  <c r="U160" i="2"/>
  <c r="S149" i="2"/>
  <c r="T149" i="2" s="1"/>
  <c r="U149" i="2"/>
  <c r="U140" i="2"/>
  <c r="V125" i="2"/>
  <c r="U121" i="2"/>
  <c r="R168" i="2"/>
  <c r="R157" i="2"/>
  <c r="R148" i="2"/>
  <c r="V145" i="2"/>
  <c r="R141" i="2"/>
  <c r="S110" i="2"/>
  <c r="T110" i="2" s="1"/>
  <c r="R106" i="2"/>
  <c r="V106" i="2"/>
  <c r="S95" i="2"/>
  <c r="T95" i="2" s="1"/>
  <c r="V83" i="2"/>
  <c r="V62" i="2"/>
  <c r="R62" i="2"/>
  <c r="R50" i="2"/>
  <c r="V50" i="2"/>
  <c r="S181" i="2"/>
  <c r="T181" i="2" s="1"/>
  <c r="U145" i="2"/>
  <c r="R130" i="2"/>
  <c r="R102" i="2"/>
  <c r="U82" i="2"/>
  <c r="S82" i="2"/>
  <c r="T82" i="2" s="1"/>
  <c r="U27" i="2"/>
  <c r="S27" i="2"/>
  <c r="T27" i="2" s="1"/>
  <c r="S25" i="2"/>
  <c r="T25" i="2" s="1"/>
  <c r="U72" i="4"/>
  <c r="Y72" i="4"/>
  <c r="S72" i="4"/>
  <c r="V134" i="2"/>
  <c r="R134" i="2"/>
  <c r="R132" i="2"/>
  <c r="R108" i="2"/>
  <c r="V108" i="2"/>
  <c r="S97" i="2"/>
  <c r="T97" i="2" s="1"/>
  <c r="V95" i="2"/>
  <c r="S79" i="2"/>
  <c r="T79" i="2" s="1"/>
  <c r="U79" i="2"/>
  <c r="S78" i="2"/>
  <c r="T78" i="2" s="1"/>
  <c r="V78" i="2"/>
  <c r="S55" i="2"/>
  <c r="T55" i="2" s="1"/>
  <c r="R70" i="2"/>
  <c r="H55" i="2"/>
  <c r="R55" i="2" s="1"/>
  <c r="S42" i="2"/>
  <c r="T42" i="2" s="1"/>
  <c r="S30" i="2"/>
  <c r="T30" i="2" s="1"/>
  <c r="V37" i="4"/>
  <c r="V91" i="2"/>
  <c r="R87" i="2"/>
  <c r="R80" i="2"/>
  <c r="R71" i="2"/>
  <c r="V41" i="2"/>
  <c r="R41" i="2"/>
  <c r="S35" i="2"/>
  <c r="T35" i="2" s="1"/>
  <c r="U26" i="2"/>
  <c r="U95" i="2"/>
  <c r="S80" i="2"/>
  <c r="T80" i="2" s="1"/>
  <c r="V70" i="2"/>
  <c r="V53" i="2"/>
  <c r="S45" i="2"/>
  <c r="T45" i="2" s="1"/>
  <c r="U45" i="2"/>
  <c r="V45" i="2"/>
  <c r="S34" i="2"/>
  <c r="T34" i="2" s="1"/>
  <c r="V46" i="2"/>
  <c r="Y74" i="4"/>
  <c r="X65" i="4"/>
  <c r="Z65" i="4"/>
  <c r="K49" i="4"/>
  <c r="Q49" i="4" s="1"/>
  <c r="R49" i="4" s="1"/>
  <c r="Y73" i="4"/>
  <c r="T73" i="4"/>
  <c r="W73" i="4" s="1"/>
  <c r="AA69" i="4"/>
  <c r="AA53" i="4"/>
  <c r="U73" i="4"/>
  <c r="T60" i="4"/>
  <c r="V60" i="4" s="1"/>
  <c r="X46" i="4"/>
  <c r="Y46" i="4"/>
  <c r="U39" i="4"/>
  <c r="T39" i="4"/>
  <c r="AA31" i="4"/>
  <c r="AA29" i="4"/>
  <c r="AA60" i="4"/>
  <c r="Y51" i="4"/>
  <c r="Z51" i="4" s="1"/>
  <c r="Y49" i="4"/>
  <c r="AA48" i="4"/>
  <c r="AA40" i="4"/>
  <c r="Y40" i="4"/>
  <c r="V52" i="4"/>
  <c r="W52" i="4"/>
  <c r="Z20" i="4"/>
  <c r="V21" i="2"/>
  <c r="W55" i="2"/>
  <c r="W50" i="4"/>
  <c r="S20" i="4"/>
  <c r="W20" i="4"/>
  <c r="Q12" i="4" s="1"/>
  <c r="Q13" i="4" s="1"/>
  <c r="Q14" i="4" s="1"/>
  <c r="M12" i="4"/>
  <c r="R24" i="2"/>
  <c r="V24" i="2"/>
  <c r="R56" i="2"/>
  <c r="V56" i="2"/>
  <c r="V22" i="2"/>
  <c r="L37" i="2"/>
  <c r="L34" i="2"/>
  <c r="P34" i="2" s="1"/>
  <c r="Q34" i="2" s="1"/>
  <c r="L23" i="2"/>
  <c r="R32" i="2"/>
  <c r="T32" i="2"/>
  <c r="L65" i="2"/>
  <c r="P65" i="2" s="1"/>
  <c r="Q65" i="2" s="1"/>
  <c r="L56" i="2"/>
  <c r="P56" i="2" s="1"/>
  <c r="Q56" i="2" s="1"/>
  <c r="L45" i="2"/>
  <c r="P45" i="2" s="1"/>
  <c r="Q45" i="2" s="1"/>
  <c r="L55" i="2"/>
  <c r="P55" i="2" s="1"/>
  <c r="Q55" i="2" s="1"/>
  <c r="J20" i="4"/>
  <c r="J23" i="4"/>
  <c r="J21" i="4"/>
  <c r="K21" i="4" s="1"/>
  <c r="Q21" i="4" s="1"/>
  <c r="R21" i="4" s="1"/>
  <c r="J22" i="4"/>
  <c r="R33" i="2"/>
  <c r="L21" i="2"/>
  <c r="P21" i="2" s="1"/>
  <c r="Q21" i="2" s="1"/>
  <c r="V12" i="2" s="1"/>
  <c r="V13" i="2" s="1"/>
  <c r="V14" i="2" s="1"/>
  <c r="L32" i="2"/>
  <c r="L22" i="2"/>
  <c r="P22" i="2" s="1"/>
  <c r="Q22" i="2" s="1"/>
  <c r="L33" i="2"/>
  <c r="P33" i="2" s="1"/>
  <c r="Q33" i="2" s="1"/>
  <c r="V36" i="2"/>
  <c r="R34" i="2"/>
  <c r="AA20" i="4"/>
  <c r="W65" i="2"/>
  <c r="P16" i="2"/>
  <c r="W45" i="2"/>
  <c r="V55" i="2"/>
  <c r="AA54" i="4" l="1"/>
  <c r="S54" i="4"/>
  <c r="X43" i="4"/>
  <c r="Z43" i="4" s="1"/>
  <c r="T43" i="4"/>
  <c r="Y43" i="4"/>
  <c r="U43" i="4"/>
  <c r="S30" i="4"/>
  <c r="AA30" i="4"/>
  <c r="T27" i="4"/>
  <c r="U27" i="4"/>
  <c r="V37" i="2"/>
  <c r="T55" i="4"/>
  <c r="W55" i="4" s="1"/>
  <c r="R187" i="2"/>
  <c r="V187" i="2"/>
  <c r="V178" i="2"/>
  <c r="U178" i="2"/>
  <c r="S177" i="2"/>
  <c r="T177" i="2" s="1"/>
  <c r="U177" i="2"/>
  <c r="U165" i="2"/>
  <c r="V165" i="2"/>
  <c r="R59" i="2"/>
  <c r="V59" i="2"/>
  <c r="P37" i="2"/>
  <c r="Q37" i="2" s="1"/>
  <c r="T41" i="4"/>
  <c r="X55" i="4"/>
  <c r="Z55" i="4" s="1"/>
  <c r="S167" i="2"/>
  <c r="T167" i="2" s="1"/>
  <c r="S141" i="2"/>
  <c r="T141" i="2" s="1"/>
  <c r="V20" i="4"/>
  <c r="V172" i="2"/>
  <c r="U105" i="2"/>
  <c r="S105" i="2"/>
  <c r="T105" i="2" s="1"/>
  <c r="R77" i="2"/>
  <c r="V77" i="2"/>
  <c r="R26" i="2"/>
  <c r="V26" i="2"/>
  <c r="T67" i="4"/>
  <c r="X67" i="4"/>
  <c r="U63" i="4"/>
  <c r="X63" i="4"/>
  <c r="T63" i="4"/>
  <c r="T30" i="4"/>
  <c r="W30" i="4" s="1"/>
  <c r="U30" i="4"/>
  <c r="K22" i="4"/>
  <c r="V23" i="2"/>
  <c r="AA27" i="4"/>
  <c r="U42" i="4"/>
  <c r="V42" i="4" s="1"/>
  <c r="S65" i="4"/>
  <c r="V66" i="2"/>
  <c r="S171" i="2"/>
  <c r="T171" i="2" s="1"/>
  <c r="U167" i="2"/>
  <c r="S46" i="2"/>
  <c r="T46" i="2" s="1"/>
  <c r="U67" i="4"/>
  <c r="U106" i="2"/>
  <c r="V75" i="2"/>
  <c r="R39" i="2"/>
  <c r="R109" i="2"/>
  <c r="V109" i="2"/>
  <c r="R57" i="2"/>
  <c r="V57" i="2"/>
  <c r="V184" i="2"/>
  <c r="U184" i="2"/>
  <c r="U53" i="4"/>
  <c r="T54" i="4"/>
  <c r="V173" i="2"/>
  <c r="S194" i="2"/>
  <c r="T194" i="2" s="1"/>
  <c r="U189" i="2"/>
  <c r="U91" i="2"/>
  <c r="S91" i="2"/>
  <c r="T91" i="2" s="1"/>
  <c r="R60" i="2"/>
  <c r="V60" i="2"/>
  <c r="U21" i="2"/>
  <c r="S21" i="2"/>
  <c r="T21" i="2" s="1"/>
  <c r="R12" i="2" s="1"/>
  <c r="R13" i="2" s="1"/>
  <c r="R14" i="2" s="1"/>
  <c r="T62" i="4"/>
  <c r="V62" i="4" s="1"/>
  <c r="U62" i="4"/>
  <c r="X62" i="4"/>
  <c r="V32" i="2"/>
  <c r="P23" i="2"/>
  <c r="Q23" i="2" s="1"/>
  <c r="U54" i="4"/>
  <c r="Y42" i="4"/>
  <c r="U43" i="2"/>
  <c r="S65" i="2"/>
  <c r="T65" i="2" s="1"/>
  <c r="U139" i="2"/>
  <c r="V174" i="2"/>
  <c r="R179" i="2"/>
  <c r="AA57" i="4"/>
  <c r="V142" i="2"/>
  <c r="S28" i="2"/>
  <c r="T28" i="2" s="1"/>
  <c r="S142" i="2"/>
  <c r="T142" i="2" s="1"/>
  <c r="U64" i="4"/>
  <c r="S101" i="2"/>
  <c r="T101" i="2" s="1"/>
  <c r="S163" i="2"/>
  <c r="T163" i="2" s="1"/>
  <c r="U163" i="2"/>
  <c r="R155" i="2"/>
  <c r="V155" i="2"/>
  <c r="S154" i="2"/>
  <c r="T154" i="2" s="1"/>
  <c r="V154" i="2"/>
  <c r="S130" i="2"/>
  <c r="T130" i="2" s="1"/>
  <c r="U130" i="2"/>
  <c r="U129" i="2"/>
  <c r="S129" i="2"/>
  <c r="T129" i="2" s="1"/>
  <c r="U128" i="2"/>
  <c r="S128" i="2"/>
  <c r="T128" i="2" s="1"/>
  <c r="V124" i="2"/>
  <c r="R124" i="2"/>
  <c r="R120" i="2"/>
  <c r="V120" i="2"/>
  <c r="S119" i="2"/>
  <c r="T119" i="2" s="1"/>
  <c r="U119" i="2"/>
  <c r="S112" i="2"/>
  <c r="T112" i="2" s="1"/>
  <c r="U112" i="2"/>
  <c r="R58" i="2"/>
  <c r="V58" i="2"/>
  <c r="W47" i="4"/>
  <c r="Z52" i="4"/>
  <c r="Z24" i="4"/>
  <c r="W74" i="4"/>
  <c r="U194" i="2"/>
  <c r="S190" i="2"/>
  <c r="T190" i="2" s="1"/>
  <c r="P183" i="2"/>
  <c r="Q183" i="2" s="1"/>
  <c r="U180" i="2"/>
  <c r="V176" i="2"/>
  <c r="P171" i="2"/>
  <c r="Q171" i="2" s="1"/>
  <c r="S168" i="2"/>
  <c r="T168" i="2" s="1"/>
  <c r="U159" i="2"/>
  <c r="U154" i="2"/>
  <c r="P148" i="2"/>
  <c r="Q148" i="2" s="1"/>
  <c r="V143" i="2"/>
  <c r="S109" i="2"/>
  <c r="T109" i="2" s="1"/>
  <c r="U108" i="2"/>
  <c r="U102" i="2"/>
  <c r="U92" i="2"/>
  <c r="S88" i="2"/>
  <c r="T88" i="2" s="1"/>
  <c r="S71" i="2"/>
  <c r="T71" i="2" s="1"/>
  <c r="U59" i="2"/>
  <c r="U58" i="2"/>
  <c r="S57" i="2"/>
  <c r="T57" i="2" s="1"/>
  <c r="S56" i="2"/>
  <c r="T56" i="2" s="1"/>
  <c r="U41" i="2"/>
  <c r="V29" i="2"/>
  <c r="K70" i="4"/>
  <c r="X64" i="4"/>
  <c r="Y63" i="4"/>
  <c r="U61" i="4"/>
  <c r="K48" i="4"/>
  <c r="Q48" i="4" s="1"/>
  <c r="R48" i="4" s="1"/>
  <c r="K46" i="4"/>
  <c r="K31" i="4"/>
  <c r="Q31" i="4" s="1"/>
  <c r="R31" i="4" s="1"/>
  <c r="Y27" i="4"/>
  <c r="T26" i="4"/>
  <c r="W26" i="4" s="1"/>
  <c r="U55" i="2"/>
  <c r="P52" i="2"/>
  <c r="Q52" i="2" s="1"/>
  <c r="K68" i="4"/>
  <c r="Q68" i="4" s="1"/>
  <c r="R68" i="4" s="1"/>
  <c r="K67" i="4"/>
  <c r="Q67" i="4" s="1"/>
  <c r="R67" i="4" s="1"/>
  <c r="Q65" i="4"/>
  <c r="R65" i="4" s="1"/>
  <c r="Y53" i="4"/>
  <c r="Q43" i="4"/>
  <c r="R43" i="4" s="1"/>
  <c r="T40" i="4"/>
  <c r="W40" i="4" s="1"/>
  <c r="S39" i="4"/>
  <c r="W39" i="4" s="1"/>
  <c r="K38" i="4"/>
  <c r="Q38" i="4" s="1"/>
  <c r="R38" i="4" s="1"/>
  <c r="V35" i="4"/>
  <c r="U24" i="4"/>
  <c r="V24" i="4" s="1"/>
  <c r="Z21" i="4"/>
  <c r="Z75" i="4"/>
  <c r="Z23" i="4"/>
  <c r="S193" i="2"/>
  <c r="T193" i="2" s="1"/>
  <c r="P191" i="2"/>
  <c r="Q191" i="2" s="1"/>
  <c r="V148" i="2"/>
  <c r="U147" i="2"/>
  <c r="S145" i="2"/>
  <c r="T145" i="2" s="1"/>
  <c r="P143" i="2"/>
  <c r="Q143" i="2" s="1"/>
  <c r="V140" i="2"/>
  <c r="V139" i="2"/>
  <c r="S138" i="2"/>
  <c r="T138" i="2" s="1"/>
  <c r="P136" i="2"/>
  <c r="Q136" i="2" s="1"/>
  <c r="P135" i="2"/>
  <c r="Q135" i="2" s="1"/>
  <c r="P126" i="2"/>
  <c r="Q126" i="2" s="1"/>
  <c r="P83" i="2"/>
  <c r="Q83" i="2" s="1"/>
  <c r="P82" i="2"/>
  <c r="Q82" i="2" s="1"/>
  <c r="V74" i="2"/>
  <c r="S67" i="2"/>
  <c r="T67" i="2" s="1"/>
  <c r="P60" i="2"/>
  <c r="Q60" i="2" s="1"/>
  <c r="P39" i="2"/>
  <c r="Q39" i="2" s="1"/>
  <c r="U38" i="2"/>
  <c r="X69" i="4"/>
  <c r="Y68" i="4"/>
  <c r="Y67" i="4"/>
  <c r="AA67" i="4"/>
  <c r="Y58" i="4"/>
  <c r="X57" i="4"/>
  <c r="Z57" i="4" s="1"/>
  <c r="U55" i="4"/>
  <c r="K55" i="4"/>
  <c r="Q55" i="4" s="1"/>
  <c r="R55" i="4" s="1"/>
  <c r="K54" i="4"/>
  <c r="Q54" i="4" s="1"/>
  <c r="R54" i="4" s="1"/>
  <c r="K51" i="4"/>
  <c r="Q51" i="4" s="1"/>
  <c r="R51" i="4" s="1"/>
  <c r="V47" i="4"/>
  <c r="U46" i="4"/>
  <c r="Y45" i="4"/>
  <c r="W37" i="4"/>
  <c r="Z35" i="4"/>
  <c r="K32" i="4"/>
  <c r="K29" i="4"/>
  <c r="V27" i="4"/>
  <c r="W27" i="4"/>
  <c r="V67" i="4"/>
  <c r="V100" i="2"/>
  <c r="R100" i="2"/>
  <c r="U98" i="2"/>
  <c r="S98" i="2"/>
  <c r="T98" i="2" s="1"/>
  <c r="R90" i="2"/>
  <c r="V90" i="2"/>
  <c r="U84" i="2"/>
  <c r="V84" i="2"/>
  <c r="S84" i="2"/>
  <c r="T84" i="2" s="1"/>
  <c r="W44" i="4"/>
  <c r="K20" i="4"/>
  <c r="Q20" i="4" s="1"/>
  <c r="R20" i="4" s="1"/>
  <c r="S12" i="4" s="1"/>
  <c r="S13" i="4" s="1"/>
  <c r="S14" i="4" s="1"/>
  <c r="W60" i="4"/>
  <c r="V39" i="4"/>
  <c r="R94" i="2"/>
  <c r="W41" i="4"/>
  <c r="Z61" i="4"/>
  <c r="R25" i="2"/>
  <c r="V25" i="2"/>
  <c r="U109" i="2"/>
  <c r="U88" i="2"/>
  <c r="V54" i="4"/>
  <c r="V63" i="4"/>
  <c r="V81" i="2"/>
  <c r="R81" i="2"/>
  <c r="U80" i="2"/>
  <c r="V80" i="2"/>
  <c r="S74" i="2"/>
  <c r="T74" i="2" s="1"/>
  <c r="U74" i="2"/>
  <c r="R72" i="2"/>
  <c r="V72" i="2"/>
  <c r="S70" i="2"/>
  <c r="T70" i="2" s="1"/>
  <c r="U70" i="2"/>
  <c r="V64" i="2"/>
  <c r="R64" i="2"/>
  <c r="V63" i="2"/>
  <c r="S63" i="2"/>
  <c r="T63" i="2" s="1"/>
  <c r="U62" i="2"/>
  <c r="S62" i="2"/>
  <c r="T62" i="2" s="1"/>
  <c r="S51" i="2"/>
  <c r="T51" i="2" s="1"/>
  <c r="U51" i="2"/>
  <c r="S50" i="2"/>
  <c r="T50" i="2" s="1"/>
  <c r="U50" i="2"/>
  <c r="R31" i="2"/>
  <c r="V31" i="2"/>
  <c r="S24" i="2"/>
  <c r="T24" i="2" s="1"/>
  <c r="U24" i="2"/>
  <c r="S22" i="2"/>
  <c r="T22" i="2" s="1"/>
  <c r="U22" i="2"/>
  <c r="T75" i="4"/>
  <c r="V75" i="4" s="1"/>
  <c r="U76" i="4"/>
  <c r="Y76" i="4"/>
  <c r="X76" i="4"/>
  <c r="AA28" i="4"/>
  <c r="X28" i="4"/>
  <c r="Z28" i="4" s="1"/>
  <c r="U28" i="4"/>
  <c r="T28" i="4"/>
  <c r="Y28" i="4"/>
  <c r="U25" i="4"/>
  <c r="V25" i="4" s="1"/>
  <c r="AA25" i="4"/>
  <c r="Y25" i="4"/>
  <c r="X25" i="4"/>
  <c r="R104" i="2"/>
  <c r="V104" i="2"/>
  <c r="U103" i="2"/>
  <c r="S103" i="2"/>
  <c r="T103" i="2" s="1"/>
  <c r="U99" i="2"/>
  <c r="V99" i="2"/>
  <c r="V93" i="2"/>
  <c r="U93" i="2"/>
  <c r="S93" i="2"/>
  <c r="T93" i="2" s="1"/>
  <c r="S89" i="2"/>
  <c r="T89" i="2" s="1"/>
  <c r="U89" i="2"/>
  <c r="R86" i="2"/>
  <c r="V86" i="2"/>
  <c r="R85" i="2"/>
  <c r="V85" i="2"/>
  <c r="AA35" i="4"/>
  <c r="S35" i="4"/>
  <c r="W35" i="4" s="1"/>
  <c r="AA33" i="4"/>
  <c r="Y33" i="4"/>
  <c r="U33" i="4"/>
  <c r="V33" i="4" s="1"/>
  <c r="X33" i="4"/>
  <c r="Z33" i="4" s="1"/>
  <c r="X29" i="4"/>
  <c r="Z29" i="4" s="1"/>
  <c r="V193" i="2"/>
  <c r="R193" i="2"/>
  <c r="U191" i="2"/>
  <c r="S191" i="2"/>
  <c r="T191" i="2" s="1"/>
  <c r="R189" i="2"/>
  <c r="V189" i="2"/>
  <c r="S188" i="2"/>
  <c r="T188" i="2" s="1"/>
  <c r="V188" i="2"/>
  <c r="U187" i="2"/>
  <c r="S187" i="2"/>
  <c r="T187" i="2" s="1"/>
  <c r="S161" i="2"/>
  <c r="T161" i="2" s="1"/>
  <c r="U161" i="2"/>
  <c r="V158" i="2"/>
  <c r="R158" i="2"/>
  <c r="U157" i="2"/>
  <c r="V157" i="2"/>
  <c r="U156" i="2"/>
  <c r="S156" i="2"/>
  <c r="T156" i="2" s="1"/>
  <c r="R153" i="2"/>
  <c r="V153" i="2"/>
  <c r="S150" i="2"/>
  <c r="T150" i="2" s="1"/>
  <c r="U150" i="2"/>
  <c r="R133" i="2"/>
  <c r="V133" i="2"/>
  <c r="U131" i="2"/>
  <c r="S131" i="2"/>
  <c r="T131" i="2" s="1"/>
  <c r="V127" i="2"/>
  <c r="U127" i="2"/>
  <c r="U126" i="2"/>
  <c r="S126" i="2"/>
  <c r="T126" i="2" s="1"/>
  <c r="S125" i="2"/>
  <c r="T125" i="2" s="1"/>
  <c r="U125" i="2"/>
  <c r="R122" i="2"/>
  <c r="V122" i="2"/>
  <c r="V121" i="2"/>
  <c r="S121" i="2"/>
  <c r="T121" i="2" s="1"/>
  <c r="V118" i="2"/>
  <c r="R118" i="2"/>
  <c r="U117" i="2"/>
  <c r="S117" i="2"/>
  <c r="T117" i="2" s="1"/>
  <c r="S116" i="2"/>
  <c r="T116" i="2" s="1"/>
  <c r="V116" i="2"/>
  <c r="V115" i="2"/>
  <c r="S115" i="2"/>
  <c r="T115" i="2" s="1"/>
  <c r="U115" i="2"/>
  <c r="S71" i="4"/>
  <c r="AA71" i="4"/>
  <c r="S70" i="4"/>
  <c r="AA70" i="4"/>
  <c r="S45" i="4"/>
  <c r="W45" i="4" s="1"/>
  <c r="AA45" i="4"/>
  <c r="U44" i="4"/>
  <c r="V44" i="4" s="1"/>
  <c r="AA44" i="4"/>
  <c r="T31" i="4"/>
  <c r="W33" i="4"/>
  <c r="Z46" i="4"/>
  <c r="S23" i="2"/>
  <c r="T23" i="2" s="1"/>
  <c r="V72" i="4"/>
  <c r="S92" i="2"/>
  <c r="T92" i="2" s="1"/>
  <c r="V163" i="2"/>
  <c r="R35" i="2"/>
  <c r="V35" i="2"/>
  <c r="U155" i="2"/>
  <c r="S22" i="4"/>
  <c r="W22" i="4" s="1"/>
  <c r="AA22" i="4"/>
  <c r="Y44" i="4"/>
  <c r="Z44" i="4" s="1"/>
  <c r="V43" i="2"/>
  <c r="S114" i="2"/>
  <c r="T114" i="2" s="1"/>
  <c r="T76" i="4"/>
  <c r="S102" i="2"/>
  <c r="T102" i="2" s="1"/>
  <c r="Z49" i="4"/>
  <c r="U162" i="2"/>
  <c r="X73" i="4"/>
  <c r="Z73" i="4" s="1"/>
  <c r="AA73" i="4"/>
  <c r="W72" i="4"/>
  <c r="AA72" i="4"/>
  <c r="X72" i="4"/>
  <c r="Z72" i="4" s="1"/>
  <c r="W69" i="4"/>
  <c r="W68" i="4"/>
  <c r="K64" i="4"/>
  <c r="Q64" i="4" s="1"/>
  <c r="R64" i="4" s="1"/>
  <c r="Z40" i="4"/>
  <c r="V64" i="4"/>
  <c r="S192" i="2"/>
  <c r="T192" i="2" s="1"/>
  <c r="U192" i="2"/>
  <c r="S75" i="2"/>
  <c r="T75" i="2" s="1"/>
  <c r="S47" i="2"/>
  <c r="T47" i="2" s="1"/>
  <c r="U28" i="2"/>
  <c r="X71" i="4"/>
  <c r="Z71" i="4" s="1"/>
  <c r="T70" i="4"/>
  <c r="V70" i="4" s="1"/>
  <c r="Y66" i="4"/>
  <c r="X66" i="4"/>
  <c r="T66" i="4"/>
  <c r="W57" i="4"/>
  <c r="T32" i="4"/>
  <c r="Y32" i="4"/>
  <c r="Z32" i="4" s="1"/>
  <c r="AA46" i="4"/>
  <c r="U164" i="2"/>
  <c r="V54" i="2"/>
  <c r="V149" i="2"/>
  <c r="X26" i="4"/>
  <c r="Z26" i="4" s="1"/>
  <c r="U26" i="4"/>
  <c r="V26" i="4" s="1"/>
  <c r="U72" i="2"/>
  <c r="U57" i="4"/>
  <c r="V57" i="4" s="1"/>
  <c r="X56" i="4"/>
  <c r="Z56" i="4" s="1"/>
  <c r="T56" i="4"/>
  <c r="AA56" i="4"/>
  <c r="Q32" i="4"/>
  <c r="R32" i="4" s="1"/>
  <c r="X31" i="4"/>
  <c r="Z31" i="4" s="1"/>
  <c r="U31" i="4"/>
  <c r="Y30" i="4"/>
  <c r="X30" i="4"/>
  <c r="Q29" i="4"/>
  <c r="R29" i="4" s="1"/>
  <c r="Q27" i="4"/>
  <c r="R27" i="4" s="1"/>
  <c r="W24" i="4"/>
  <c r="E61" i="11"/>
  <c r="Z67" i="4"/>
  <c r="V65" i="2"/>
  <c r="S137" i="2"/>
  <c r="T137" i="2" s="1"/>
  <c r="U137" i="2"/>
  <c r="U76" i="2"/>
  <c r="S76" i="2"/>
  <c r="T76" i="2" s="1"/>
  <c r="R73" i="2"/>
  <c r="V73" i="2"/>
  <c r="U33" i="2"/>
  <c r="S33" i="2"/>
  <c r="T33" i="2" s="1"/>
  <c r="T68" i="4"/>
  <c r="X68" i="4"/>
  <c r="Z68" i="4" s="1"/>
  <c r="T59" i="4"/>
  <c r="W59" i="4" s="1"/>
  <c r="U59" i="4"/>
  <c r="Y59" i="4"/>
  <c r="Z59" i="4" s="1"/>
  <c r="AA58" i="4"/>
  <c r="T58" i="4"/>
  <c r="W58" i="4" s="1"/>
  <c r="U49" i="4"/>
  <c r="V49" i="4" s="1"/>
  <c r="T49" i="4"/>
  <c r="W49" i="4" s="1"/>
  <c r="U41" i="4"/>
  <c r="V41" i="4" s="1"/>
  <c r="Y41" i="4"/>
  <c r="Z41" i="4" s="1"/>
  <c r="U29" i="4"/>
  <c r="T29" i="4"/>
  <c r="X27" i="4"/>
  <c r="Z27" i="4" s="1"/>
  <c r="V33" i="2"/>
  <c r="T71" i="4"/>
  <c r="S162" i="2"/>
  <c r="T162" i="2" s="1"/>
  <c r="U45" i="4"/>
  <c r="V45" i="4" s="1"/>
  <c r="U32" i="4"/>
  <c r="U68" i="4"/>
  <c r="W61" i="4"/>
  <c r="Y69" i="4"/>
  <c r="Z69" i="4" s="1"/>
  <c r="U36" i="2"/>
  <c r="U31" i="2"/>
  <c r="V164" i="2"/>
  <c r="W54" i="4"/>
  <c r="S148" i="2"/>
  <c r="T148" i="2" s="1"/>
  <c r="S59" i="2"/>
  <c r="T59" i="2" s="1"/>
  <c r="S67" i="4"/>
  <c r="W67" i="4" s="1"/>
  <c r="R185" i="2"/>
  <c r="V185" i="2"/>
  <c r="R110" i="2"/>
  <c r="V110" i="2"/>
  <c r="U77" i="2"/>
  <c r="U66" i="2"/>
  <c r="U53" i="2"/>
  <c r="X41" i="4"/>
  <c r="Y34" i="4"/>
  <c r="Z34" i="4" s="1"/>
  <c r="U34" i="4"/>
  <c r="T34" i="4"/>
  <c r="V34" i="2"/>
  <c r="P32" i="2"/>
  <c r="Q32" i="2" s="1"/>
  <c r="AA55" i="4"/>
  <c r="U40" i="4"/>
  <c r="V40" i="4" s="1"/>
  <c r="T46" i="4"/>
  <c r="W46" i="4" s="1"/>
  <c r="X70" i="4"/>
  <c r="AA42" i="4"/>
  <c r="W42" i="4"/>
  <c r="V130" i="2"/>
  <c r="W29" i="4"/>
  <c r="X58" i="4"/>
  <c r="Z58" i="4" s="1"/>
  <c r="S72" i="2"/>
  <c r="T72" i="2" s="1"/>
  <c r="W48" i="4"/>
  <c r="S53" i="2"/>
  <c r="T53" i="2" s="1"/>
  <c r="V114" i="2"/>
  <c r="W63" i="4"/>
  <c r="U71" i="4"/>
  <c r="U69" i="4"/>
  <c r="V69" i="4" s="1"/>
  <c r="S62" i="4"/>
  <c r="W62" i="4" s="1"/>
  <c r="U70" i="4"/>
  <c r="W23" i="4"/>
  <c r="Y70" i="4"/>
  <c r="X42" i="4"/>
  <c r="Z42" i="4" s="1"/>
  <c r="U66" i="4"/>
  <c r="U56" i="2"/>
  <c r="V79" i="2"/>
  <c r="W70" i="4"/>
  <c r="Q40" i="4"/>
  <c r="R40" i="4" s="1"/>
  <c r="S41" i="2"/>
  <c r="T41" i="2" s="1"/>
  <c r="U133" i="2"/>
  <c r="U37" i="2"/>
  <c r="T69" i="4"/>
  <c r="U134" i="2"/>
  <c r="U183" i="2"/>
  <c r="T53" i="4"/>
  <c r="X45" i="4"/>
  <c r="U166" i="2"/>
  <c r="X54" i="4"/>
  <c r="Z54" i="4" s="1"/>
  <c r="U148" i="2"/>
  <c r="F19" i="5"/>
  <c r="G23" i="5"/>
  <c r="P189" i="2"/>
  <c r="Q189" i="2" s="1"/>
  <c r="S178" i="2"/>
  <c r="T178" i="2" s="1"/>
  <c r="U172" i="2"/>
  <c r="S165" i="2"/>
  <c r="T165" i="2" s="1"/>
  <c r="P158" i="2"/>
  <c r="Q158" i="2" s="1"/>
  <c r="V152" i="2"/>
  <c r="V103" i="2"/>
  <c r="V89" i="2"/>
  <c r="R89" i="2"/>
  <c r="P86" i="2"/>
  <c r="Q86" i="2" s="1"/>
  <c r="P81" i="2"/>
  <c r="Q81" i="2" s="1"/>
  <c r="U73" i="2"/>
  <c r="Q70" i="4"/>
  <c r="R70" i="4" s="1"/>
  <c r="T65" i="4"/>
  <c r="U65" i="4"/>
  <c r="Z64" i="4"/>
  <c r="V61" i="4"/>
  <c r="P24" i="2"/>
  <c r="Q24" i="2" s="1"/>
  <c r="Z22" i="4"/>
  <c r="P188" i="2"/>
  <c r="Q188" i="2" s="1"/>
  <c r="P186" i="2"/>
  <c r="Q186" i="2" s="1"/>
  <c r="P185" i="2"/>
  <c r="Q185" i="2" s="1"/>
  <c r="P169" i="2"/>
  <c r="Q169" i="2" s="1"/>
  <c r="P163" i="2"/>
  <c r="Q163" i="2" s="1"/>
  <c r="P157" i="2"/>
  <c r="Q157" i="2" s="1"/>
  <c r="P144" i="2"/>
  <c r="Q144" i="2" s="1"/>
  <c r="P137" i="2"/>
  <c r="Q137" i="2" s="1"/>
  <c r="V136" i="2"/>
  <c r="U132" i="2"/>
  <c r="P131" i="2"/>
  <c r="Q131" i="2" s="1"/>
  <c r="P124" i="2"/>
  <c r="Q124" i="2" s="1"/>
  <c r="S122" i="2"/>
  <c r="T122" i="2" s="1"/>
  <c r="P120" i="2"/>
  <c r="Q120" i="2" s="1"/>
  <c r="P110" i="2"/>
  <c r="Q110" i="2" s="1"/>
  <c r="S99" i="2"/>
  <c r="T99" i="2" s="1"/>
  <c r="P43" i="2"/>
  <c r="Q43" i="2" s="1"/>
  <c r="AA64" i="4"/>
  <c r="Y62" i="4"/>
  <c r="Z62" i="4" s="1"/>
  <c r="K60" i="4"/>
  <c r="Q60" i="4" s="1"/>
  <c r="R60" i="4" s="1"/>
  <c r="Z53" i="4"/>
  <c r="U50" i="4"/>
  <c r="V50" i="4" s="1"/>
  <c r="Z47" i="4"/>
  <c r="K42" i="4"/>
  <c r="Q42" i="4" s="1"/>
  <c r="R42" i="4" s="1"/>
  <c r="P192" i="2"/>
  <c r="Q192" i="2" s="1"/>
  <c r="V190" i="2"/>
  <c r="P187" i="2"/>
  <c r="Q187" i="2" s="1"/>
  <c r="U185" i="2"/>
  <c r="P184" i="2"/>
  <c r="Q184" i="2" s="1"/>
  <c r="U174" i="2"/>
  <c r="P155" i="2"/>
  <c r="Q155" i="2" s="1"/>
  <c r="P151" i="2"/>
  <c r="Q151" i="2" s="1"/>
  <c r="P150" i="2"/>
  <c r="Q150" i="2" s="1"/>
  <c r="P142" i="2"/>
  <c r="Q142" i="2" s="1"/>
  <c r="S136" i="2"/>
  <c r="T136" i="2" s="1"/>
  <c r="S135" i="2"/>
  <c r="T135" i="2" s="1"/>
  <c r="P133" i="2"/>
  <c r="Q133" i="2" s="1"/>
  <c r="P129" i="2"/>
  <c r="Q129" i="2" s="1"/>
  <c r="P128" i="2"/>
  <c r="Q128" i="2" s="1"/>
  <c r="U123" i="2"/>
  <c r="P89" i="2"/>
  <c r="Q89" i="2" s="1"/>
  <c r="U81" i="2"/>
  <c r="P80" i="2"/>
  <c r="Q80" i="2" s="1"/>
  <c r="P77" i="2"/>
  <c r="Q77" i="2" s="1"/>
  <c r="P76" i="2"/>
  <c r="Q76" i="2" s="1"/>
  <c r="P74" i="2"/>
  <c r="Q74" i="2" s="1"/>
  <c r="P73" i="2"/>
  <c r="Q73" i="2" s="1"/>
  <c r="P72" i="2"/>
  <c r="Q72" i="2" s="1"/>
  <c r="P71" i="2"/>
  <c r="Q71" i="2" s="1"/>
  <c r="P62" i="2"/>
  <c r="Q62" i="2" s="1"/>
  <c r="P54" i="2"/>
  <c r="Q54" i="2" s="1"/>
  <c r="V47" i="2"/>
  <c r="P29" i="2"/>
  <c r="Q29" i="2" s="1"/>
  <c r="P26" i="2"/>
  <c r="Q26" i="2" s="1"/>
  <c r="K72" i="4"/>
  <c r="Q72" i="4" s="1"/>
  <c r="R72" i="4" s="1"/>
  <c r="K63" i="4"/>
  <c r="Q63" i="4" s="1"/>
  <c r="R63" i="4" s="1"/>
  <c r="K56" i="4"/>
  <c r="Q56" i="4" s="1"/>
  <c r="R56" i="4" s="1"/>
  <c r="K52" i="4"/>
  <c r="Q52" i="4" s="1"/>
  <c r="R52" i="4" s="1"/>
  <c r="K50" i="4"/>
  <c r="Q50" i="4" s="1"/>
  <c r="R50" i="4" s="1"/>
  <c r="K37" i="4"/>
  <c r="Q37" i="4" s="1"/>
  <c r="R37" i="4" s="1"/>
  <c r="K34" i="4"/>
  <c r="Q34" i="4" s="1"/>
  <c r="R34" i="4" s="1"/>
  <c r="F49" i="3"/>
  <c r="F106" i="3"/>
  <c r="F162" i="3"/>
  <c r="F64" i="3"/>
  <c r="F120" i="3"/>
  <c r="F194" i="3"/>
  <c r="F19" i="3"/>
  <c r="AE19" i="3" s="1"/>
  <c r="S66" i="3"/>
  <c r="V66" i="3"/>
  <c r="R68" i="3"/>
  <c r="V67" i="3"/>
  <c r="U66" i="3"/>
  <c r="L66" i="3"/>
  <c r="L58" i="3"/>
  <c r="U58" i="3"/>
  <c r="S58" i="3"/>
  <c r="L22" i="3"/>
  <c r="L24" i="3"/>
  <c r="L36" i="3"/>
  <c r="U35" i="3"/>
  <c r="S21" i="3"/>
  <c r="R21" i="3"/>
  <c r="U37" i="3"/>
  <c r="R37" i="3"/>
  <c r="U36" i="3"/>
  <c r="R36" i="3"/>
  <c r="R35" i="3"/>
  <c r="S34" i="3"/>
  <c r="R34" i="3"/>
  <c r="S23" i="3"/>
  <c r="R23" i="3"/>
  <c r="L23" i="3"/>
  <c r="U21" i="3"/>
  <c r="U34" i="3"/>
  <c r="R33" i="3"/>
  <c r="V21" i="3"/>
  <c r="F24" i="3"/>
  <c r="F56" i="3"/>
  <c r="F85" i="3"/>
  <c r="F113" i="3"/>
  <c r="F141" i="3"/>
  <c r="F170" i="3"/>
  <c r="F41" i="3"/>
  <c r="F70" i="3"/>
  <c r="F98" i="3"/>
  <c r="F128" i="3"/>
  <c r="F156" i="3"/>
  <c r="F185" i="3"/>
  <c r="X14" i="2"/>
  <c r="Y14" i="2"/>
  <c r="V46" i="4"/>
  <c r="V55" i="4"/>
  <c r="AA23" i="4"/>
  <c r="V73" i="4"/>
  <c r="V30" i="4"/>
  <c r="V22" i="4"/>
  <c r="Q22" i="4"/>
  <c r="R22" i="4" s="1"/>
  <c r="K23" i="4"/>
  <c r="Q23" i="4" s="1"/>
  <c r="R23" i="4" s="1"/>
  <c r="P35" i="2"/>
  <c r="Q35" i="2" s="1"/>
  <c r="S185" i="2"/>
  <c r="T185" i="2" s="1"/>
  <c r="P141" i="2"/>
  <c r="Q141" i="2" s="1"/>
  <c r="S132" i="2"/>
  <c r="T132" i="2" s="1"/>
  <c r="P36" i="2"/>
  <c r="Q36" i="2" s="1"/>
  <c r="P25" i="2"/>
  <c r="Q25" i="2" s="1"/>
  <c r="P194" i="2"/>
  <c r="Q194" i="2" s="1"/>
  <c r="P193" i="2"/>
  <c r="Q193" i="2" s="1"/>
  <c r="U190" i="2"/>
  <c r="P178" i="2"/>
  <c r="Q178" i="2" s="1"/>
  <c r="P177" i="2"/>
  <c r="Q177" i="2" s="1"/>
  <c r="P174" i="2"/>
  <c r="Q174" i="2" s="1"/>
  <c r="P172" i="2"/>
  <c r="Q172" i="2" s="1"/>
  <c r="P167" i="2"/>
  <c r="Q167" i="2" s="1"/>
  <c r="V112" i="2"/>
  <c r="P96" i="2"/>
  <c r="Q96" i="2" s="1"/>
  <c r="P94" i="2"/>
  <c r="Q94" i="2" s="1"/>
  <c r="S85" i="2"/>
  <c r="T85" i="2" s="1"/>
  <c r="P181" i="2"/>
  <c r="Q181" i="2" s="1"/>
  <c r="P180" i="2"/>
  <c r="Q180" i="2" s="1"/>
  <c r="P179" i="2"/>
  <c r="Q179" i="2" s="1"/>
  <c r="P173" i="2"/>
  <c r="Q173" i="2" s="1"/>
  <c r="P168" i="2"/>
  <c r="Q168" i="2" s="1"/>
  <c r="P165" i="2"/>
  <c r="Q165" i="2" s="1"/>
  <c r="P164" i="2"/>
  <c r="Q164" i="2" s="1"/>
  <c r="P146" i="2"/>
  <c r="Q146" i="2" s="1"/>
  <c r="P145" i="2"/>
  <c r="Q145" i="2" s="1"/>
  <c r="P118" i="2"/>
  <c r="Q118" i="2" s="1"/>
  <c r="P116" i="2"/>
  <c r="Q116" i="2" s="1"/>
  <c r="P115" i="2"/>
  <c r="Q115" i="2" s="1"/>
  <c r="P105" i="2"/>
  <c r="Q105" i="2" s="1"/>
  <c r="V101" i="2"/>
  <c r="P166" i="2"/>
  <c r="Q166" i="2" s="1"/>
  <c r="P162" i="2"/>
  <c r="Q162" i="2" s="1"/>
  <c r="P161" i="2"/>
  <c r="Q161" i="2" s="1"/>
  <c r="P159" i="2"/>
  <c r="Q159" i="2" s="1"/>
  <c r="P153" i="2"/>
  <c r="Q153" i="2" s="1"/>
  <c r="P152" i="2"/>
  <c r="Q152" i="2" s="1"/>
  <c r="P134" i="2"/>
  <c r="Q134" i="2" s="1"/>
  <c r="P132" i="2"/>
  <c r="Q132" i="2" s="1"/>
  <c r="V128" i="2"/>
  <c r="P112" i="2"/>
  <c r="Q112" i="2" s="1"/>
  <c r="P111" i="2"/>
  <c r="Q111" i="2" s="1"/>
  <c r="P107" i="2"/>
  <c r="Q107" i="2" s="1"/>
  <c r="P99" i="2"/>
  <c r="Q99" i="2" s="1"/>
  <c r="P91" i="2"/>
  <c r="Q91" i="2" s="1"/>
  <c r="P90" i="2"/>
  <c r="Q90" i="2" s="1"/>
  <c r="P85" i="2"/>
  <c r="Q85" i="2" s="1"/>
  <c r="P84" i="2"/>
  <c r="Q84" i="2" s="1"/>
  <c r="P40" i="2"/>
  <c r="Q40" i="2" s="1"/>
  <c r="P31" i="2"/>
  <c r="Q31" i="2" s="1"/>
  <c r="P27" i="2"/>
  <c r="Q27" i="2" s="1"/>
  <c r="F26" i="3"/>
  <c r="F36" i="3"/>
  <c r="F42" i="3"/>
  <c r="F50" i="3"/>
  <c r="F58" i="3"/>
  <c r="F65" i="3"/>
  <c r="F72" i="3"/>
  <c r="F80" i="3"/>
  <c r="F86" i="3"/>
  <c r="F93" i="3"/>
  <c r="F101" i="3"/>
  <c r="F108" i="3"/>
  <c r="F114" i="3"/>
  <c r="F122" i="3"/>
  <c r="F129" i="3"/>
  <c r="F136" i="3"/>
  <c r="F144" i="3"/>
  <c r="F150" i="3"/>
  <c r="F157" i="3"/>
  <c r="F165" i="3"/>
  <c r="F172" i="3"/>
  <c r="F178" i="3"/>
  <c r="F189" i="3"/>
  <c r="P156" i="2"/>
  <c r="Q156" i="2" s="1"/>
  <c r="P154" i="2"/>
  <c r="Q154" i="2" s="1"/>
  <c r="P140" i="2"/>
  <c r="Q140" i="2" s="1"/>
  <c r="P139" i="2"/>
  <c r="Q139" i="2" s="1"/>
  <c r="P122" i="2"/>
  <c r="Q122" i="2" s="1"/>
  <c r="P121" i="2"/>
  <c r="Q121" i="2" s="1"/>
  <c r="P117" i="2"/>
  <c r="Q117" i="2" s="1"/>
  <c r="P114" i="2"/>
  <c r="Q114" i="2" s="1"/>
  <c r="P113" i="2"/>
  <c r="Q113" i="2" s="1"/>
  <c r="P109" i="2"/>
  <c r="Q109" i="2" s="1"/>
  <c r="P108" i="2"/>
  <c r="Q108" i="2" s="1"/>
  <c r="P106" i="2"/>
  <c r="Q106" i="2" s="1"/>
  <c r="P104" i="2"/>
  <c r="Q104" i="2" s="1"/>
  <c r="P103" i="2"/>
  <c r="Q103" i="2" s="1"/>
  <c r="P102" i="2"/>
  <c r="Q102" i="2" s="1"/>
  <c r="P101" i="2"/>
  <c r="Q101" i="2" s="1"/>
  <c r="P100" i="2"/>
  <c r="Q100" i="2" s="1"/>
  <c r="P93" i="2"/>
  <c r="Q93" i="2" s="1"/>
  <c r="P92" i="2"/>
  <c r="Q92" i="2" s="1"/>
  <c r="P79" i="2"/>
  <c r="Q79" i="2" s="1"/>
  <c r="P78" i="2"/>
  <c r="Q78" i="2" s="1"/>
  <c r="P67" i="2"/>
  <c r="Q67" i="2" s="1"/>
  <c r="P66" i="2"/>
  <c r="Q66" i="2" s="1"/>
  <c r="P64" i="2"/>
  <c r="Q64" i="2" s="1"/>
  <c r="P53" i="2"/>
  <c r="Q53" i="2" s="1"/>
  <c r="P49" i="2"/>
  <c r="Q49" i="2" s="1"/>
  <c r="P48" i="2"/>
  <c r="Q48" i="2" s="1"/>
  <c r="P47" i="2"/>
  <c r="Q47" i="2" s="1"/>
  <c r="P38" i="2"/>
  <c r="Q38" i="2" s="1"/>
  <c r="P28" i="2"/>
  <c r="Q28" i="2" s="1"/>
  <c r="Q46" i="4"/>
  <c r="R46" i="4" s="1"/>
  <c r="F28" i="3"/>
  <c r="F37" i="3"/>
  <c r="F33" i="3"/>
  <c r="F53" i="3"/>
  <c r="F60" i="3"/>
  <c r="F66" i="3"/>
  <c r="F74" i="3"/>
  <c r="F81" i="3"/>
  <c r="F88" i="3"/>
  <c r="F96" i="3"/>
  <c r="F102" i="3"/>
  <c r="F109" i="3"/>
  <c r="F117" i="3"/>
  <c r="F124" i="3"/>
  <c r="F130" i="3"/>
  <c r="F138" i="3"/>
  <c r="F145" i="3"/>
  <c r="F152" i="3"/>
  <c r="F160" i="3"/>
  <c r="F166" i="3"/>
  <c r="F173" i="3"/>
  <c r="F181" i="3"/>
  <c r="F190" i="3"/>
  <c r="P75" i="2"/>
  <c r="Q75" i="2" s="1"/>
  <c r="P59" i="2"/>
  <c r="Q59" i="2" s="1"/>
  <c r="P58" i="2"/>
  <c r="Q58" i="2" s="1"/>
  <c r="P57" i="2"/>
  <c r="Q57" i="2" s="1"/>
  <c r="P51" i="2"/>
  <c r="Q51" i="2" s="1"/>
  <c r="P50" i="2"/>
  <c r="Q50" i="2" s="1"/>
  <c r="V48" i="2"/>
  <c r="P46" i="2"/>
  <c r="Q46" i="2" s="1"/>
  <c r="P41" i="2"/>
  <c r="Q41" i="2" s="1"/>
  <c r="K74" i="4"/>
  <c r="Q74" i="4" s="1"/>
  <c r="R74" i="4" s="1"/>
  <c r="K71" i="4"/>
  <c r="Q71" i="4" s="1"/>
  <c r="R71" i="4" s="1"/>
  <c r="K58" i="4"/>
  <c r="Q58" i="4" s="1"/>
  <c r="R58" i="4" s="1"/>
  <c r="K53" i="4"/>
  <c r="Q53" i="4" s="1"/>
  <c r="R53" i="4" s="1"/>
  <c r="K44" i="4"/>
  <c r="Q44" i="4" s="1"/>
  <c r="R44" i="4" s="1"/>
  <c r="K35" i="4"/>
  <c r="Q35" i="4" s="1"/>
  <c r="R35" i="4" s="1"/>
  <c r="K33" i="4"/>
  <c r="Q33" i="4" s="1"/>
  <c r="R33" i="4" s="1"/>
  <c r="F23" i="3"/>
  <c r="F30" i="3"/>
  <c r="F38" i="3"/>
  <c r="F48" i="3"/>
  <c r="F54" i="3"/>
  <c r="F61" i="3"/>
  <c r="F69" i="3"/>
  <c r="F76" i="3"/>
  <c r="F82" i="3"/>
  <c r="F90" i="3"/>
  <c r="F97" i="3"/>
  <c r="F104" i="3"/>
  <c r="F112" i="3"/>
  <c r="F118" i="3"/>
  <c r="F125" i="3"/>
  <c r="F133" i="3"/>
  <c r="F140" i="3"/>
  <c r="F146" i="3"/>
  <c r="F154" i="3"/>
  <c r="F161" i="3"/>
  <c r="F168" i="3"/>
  <c r="F176" i="3"/>
  <c r="F184" i="3"/>
  <c r="F192" i="3"/>
  <c r="F22" i="3"/>
  <c r="F27" i="3"/>
  <c r="F34" i="3"/>
  <c r="F40" i="3"/>
  <c r="F46" i="3"/>
  <c r="F52" i="3"/>
  <c r="F57" i="3"/>
  <c r="F62" i="3"/>
  <c r="F68" i="3"/>
  <c r="F73" i="3"/>
  <c r="F78" i="3"/>
  <c r="F84" i="3"/>
  <c r="F89" i="3"/>
  <c r="F94" i="3"/>
  <c r="F100" i="3"/>
  <c r="F105" i="3"/>
  <c r="F110" i="3"/>
  <c r="F116" i="3"/>
  <c r="F121" i="3"/>
  <c r="F126" i="3"/>
  <c r="F132" i="3"/>
  <c r="F137" i="3"/>
  <c r="F142" i="3"/>
  <c r="F148" i="3"/>
  <c r="F153" i="3"/>
  <c r="F158" i="3"/>
  <c r="F164" i="3"/>
  <c r="F169" i="3"/>
  <c r="F174" i="3"/>
  <c r="F180" i="3"/>
  <c r="F186" i="3"/>
  <c r="O92" i="3"/>
  <c r="P92" i="3" s="1"/>
  <c r="O85" i="3"/>
  <c r="P85" i="3" s="1"/>
  <c r="O153" i="3"/>
  <c r="P153" i="3" s="1"/>
  <c r="O157" i="3"/>
  <c r="P157" i="3" s="1"/>
  <c r="O93" i="3"/>
  <c r="P93" i="3" s="1"/>
  <c r="O101" i="3"/>
  <c r="P101" i="3" s="1"/>
  <c r="O105" i="3"/>
  <c r="P105" i="3" s="1"/>
  <c r="Q92" i="3"/>
  <c r="T92" i="3" s="1"/>
  <c r="O79" i="3"/>
  <c r="P79" i="3" s="1"/>
  <c r="O91" i="3"/>
  <c r="P91" i="3" s="1"/>
  <c r="O99" i="3"/>
  <c r="P99" i="3" s="1"/>
  <c r="O111" i="3"/>
  <c r="W111" i="3" s="1"/>
  <c r="O131" i="3"/>
  <c r="P131" i="3" s="1"/>
  <c r="O171" i="3"/>
  <c r="P171" i="3" s="1"/>
  <c r="O89" i="3"/>
  <c r="P89" i="3" s="1"/>
  <c r="O97" i="3"/>
  <c r="W97" i="3" s="1"/>
  <c r="O113" i="3"/>
  <c r="W113" i="3" s="1"/>
  <c r="O125" i="3"/>
  <c r="P125" i="3" s="1"/>
  <c r="O63" i="3"/>
  <c r="P63" i="3" s="1"/>
  <c r="O90" i="3"/>
  <c r="P90" i="3" s="1"/>
  <c r="O98" i="3"/>
  <c r="P98" i="3" s="1"/>
  <c r="O102" i="3"/>
  <c r="P102" i="3" s="1"/>
  <c r="O114" i="3"/>
  <c r="W114" i="3" s="1"/>
  <c r="O138" i="3"/>
  <c r="P138" i="3" s="1"/>
  <c r="O142" i="3"/>
  <c r="P142" i="3" s="1"/>
  <c r="O146" i="3"/>
  <c r="O158" i="3"/>
  <c r="P158" i="3" s="1"/>
  <c r="O162" i="3"/>
  <c r="P162" i="3" s="1"/>
  <c r="O174" i="3"/>
  <c r="P174" i="3" s="1"/>
  <c r="O178" i="3"/>
  <c r="X178" i="3" s="1"/>
  <c r="O190" i="3"/>
  <c r="P190" i="3" s="1"/>
  <c r="O194" i="3"/>
  <c r="X194" i="3" s="1"/>
  <c r="F195" i="3"/>
  <c r="AE45" i="3"/>
  <c r="AE47" i="3"/>
  <c r="AE49" i="3"/>
  <c r="AE51" i="3"/>
  <c r="AE53" i="3"/>
  <c r="AE55" i="3"/>
  <c r="AE57" i="3"/>
  <c r="AE59" i="3"/>
  <c r="AE61" i="3"/>
  <c r="AE63" i="3"/>
  <c r="AE65" i="3"/>
  <c r="AE67" i="3"/>
  <c r="AE69" i="3"/>
  <c r="AE71" i="3"/>
  <c r="AE73" i="3"/>
  <c r="AE75" i="3"/>
  <c r="AE77" i="3"/>
  <c r="AE79" i="3"/>
  <c r="AE81" i="3"/>
  <c r="AE83" i="3"/>
  <c r="AE85" i="3"/>
  <c r="AE87" i="3"/>
  <c r="AE89" i="3"/>
  <c r="AE91" i="3"/>
  <c r="AE93" i="3"/>
  <c r="AE95" i="3"/>
  <c r="AE97" i="3"/>
  <c r="AE99" i="3"/>
  <c r="AE101" i="3"/>
  <c r="AE103" i="3"/>
  <c r="AE105" i="3"/>
  <c r="AE107" i="3"/>
  <c r="AE109" i="3"/>
  <c r="AE111" i="3"/>
  <c r="AE113" i="3"/>
  <c r="AE115" i="3"/>
  <c r="AE117" i="3"/>
  <c r="AE119" i="3"/>
  <c r="AE121" i="3"/>
  <c r="AE123" i="3"/>
  <c r="AE125" i="3"/>
  <c r="AE127" i="3"/>
  <c r="AE129" i="3"/>
  <c r="AE131" i="3"/>
  <c r="AE133" i="3"/>
  <c r="AE135" i="3"/>
  <c r="AE137" i="3"/>
  <c r="AE139" i="3"/>
  <c r="AE141" i="3"/>
  <c r="AE143" i="3"/>
  <c r="AE145" i="3"/>
  <c r="AE147" i="3"/>
  <c r="AE149" i="3"/>
  <c r="AE151" i="3"/>
  <c r="AE153" i="3"/>
  <c r="AE155" i="3"/>
  <c r="AE157" i="3"/>
  <c r="AE159" i="3"/>
  <c r="AE161" i="3"/>
  <c r="AE163" i="3"/>
  <c r="AE165" i="3"/>
  <c r="AE167" i="3"/>
  <c r="AE169" i="3"/>
  <c r="AE171" i="3"/>
  <c r="AE173" i="3"/>
  <c r="AE175" i="3"/>
  <c r="AE177" i="3"/>
  <c r="AE179" i="3"/>
  <c r="AE181" i="3"/>
  <c r="AE183" i="3"/>
  <c r="AE185" i="3"/>
  <c r="AE187" i="3"/>
  <c r="AE189" i="3"/>
  <c r="AE191" i="3"/>
  <c r="AE193" i="3"/>
  <c r="AE46" i="3"/>
  <c r="AE48" i="3"/>
  <c r="AE50" i="3"/>
  <c r="AE52" i="3"/>
  <c r="AE54" i="3"/>
  <c r="AE56" i="3"/>
  <c r="AE58" i="3"/>
  <c r="AE60" i="3"/>
  <c r="AE62" i="3"/>
  <c r="AE64" i="3"/>
  <c r="AE66" i="3"/>
  <c r="AE68" i="3"/>
  <c r="AE70" i="3"/>
  <c r="AE72" i="3"/>
  <c r="AE74" i="3"/>
  <c r="AE76" i="3"/>
  <c r="AE78" i="3"/>
  <c r="AE80" i="3"/>
  <c r="AE82" i="3"/>
  <c r="AE84" i="3"/>
  <c r="AE86" i="3"/>
  <c r="AE88" i="3"/>
  <c r="AE90" i="3"/>
  <c r="AE92" i="3"/>
  <c r="AE94" i="3"/>
  <c r="AE96" i="3"/>
  <c r="AE98" i="3"/>
  <c r="AE100" i="3"/>
  <c r="AE102" i="3"/>
  <c r="AE104" i="3"/>
  <c r="AE106" i="3"/>
  <c r="AE108" i="3"/>
  <c r="AE110" i="3"/>
  <c r="AE112" i="3"/>
  <c r="AE114" i="3"/>
  <c r="AE116" i="3"/>
  <c r="AE118" i="3"/>
  <c r="AE120" i="3"/>
  <c r="AE122" i="3"/>
  <c r="AE124" i="3"/>
  <c r="AE126" i="3"/>
  <c r="AE128" i="3"/>
  <c r="AE130" i="3"/>
  <c r="AE132" i="3"/>
  <c r="AE134" i="3"/>
  <c r="AE136" i="3"/>
  <c r="AE138" i="3"/>
  <c r="AE140" i="3"/>
  <c r="AE142" i="3"/>
  <c r="AE144" i="3"/>
  <c r="AE146" i="3"/>
  <c r="AE148" i="3"/>
  <c r="AE150" i="3"/>
  <c r="AE152" i="3"/>
  <c r="AE154" i="3"/>
  <c r="AE156" i="3"/>
  <c r="AE158" i="3"/>
  <c r="AE160" i="3"/>
  <c r="AE162" i="3"/>
  <c r="AE164" i="3"/>
  <c r="AE166" i="3"/>
  <c r="AE168" i="3"/>
  <c r="AE170" i="3"/>
  <c r="AE172" i="3"/>
  <c r="AE174" i="3"/>
  <c r="AE176" i="3"/>
  <c r="AE178" i="3"/>
  <c r="AE180" i="3"/>
  <c r="AE182" i="3"/>
  <c r="AE184" i="3"/>
  <c r="AE186" i="3"/>
  <c r="AE188" i="3"/>
  <c r="AE190" i="3"/>
  <c r="AE192" i="3"/>
  <c r="AE194" i="3"/>
  <c r="AE195" i="3"/>
  <c r="AE29" i="3"/>
  <c r="O64" i="3"/>
  <c r="P64" i="3" s="1"/>
  <c r="O83" i="3"/>
  <c r="P83" i="3" s="1"/>
  <c r="O107" i="3"/>
  <c r="X107" i="3" s="1"/>
  <c r="O123" i="3"/>
  <c r="X123" i="3" s="1"/>
  <c r="O127" i="3"/>
  <c r="P127" i="3" s="1"/>
  <c r="O143" i="3"/>
  <c r="P143" i="3" s="1"/>
  <c r="O69" i="3"/>
  <c r="P69" i="3" s="1"/>
  <c r="O108" i="3"/>
  <c r="P108" i="3" s="1"/>
  <c r="O120" i="3"/>
  <c r="P120" i="3" s="1"/>
  <c r="O124" i="3"/>
  <c r="P124" i="3" s="1"/>
  <c r="O160" i="3"/>
  <c r="P160" i="3" s="1"/>
  <c r="O164" i="3"/>
  <c r="W164" i="3" s="1"/>
  <c r="O168" i="3"/>
  <c r="P168" i="3" s="1"/>
  <c r="F182" i="3"/>
  <c r="F188" i="3"/>
  <c r="F193" i="3"/>
  <c r="U61" i="3"/>
  <c r="V61" i="3"/>
  <c r="R61" i="3"/>
  <c r="L61" i="3"/>
  <c r="S57" i="3"/>
  <c r="U57" i="3"/>
  <c r="V57" i="3"/>
  <c r="U49" i="3"/>
  <c r="U51" i="3"/>
  <c r="L49" i="3"/>
  <c r="U48" i="3"/>
  <c r="V49" i="3"/>
  <c r="V50" i="3"/>
  <c r="V51" i="3"/>
  <c r="R49" i="3"/>
  <c r="L48" i="3"/>
  <c r="L51" i="3"/>
  <c r="L24" i="5"/>
  <c r="L18" i="5"/>
  <c r="M25" i="5"/>
  <c r="V43" i="3"/>
  <c r="L43" i="3"/>
  <c r="U42" i="3"/>
  <c r="U30" i="3"/>
  <c r="M28" i="5"/>
  <c r="M27" i="5"/>
  <c r="L27" i="5"/>
  <c r="M26" i="5"/>
  <c r="L19" i="5"/>
  <c r="M19" i="5"/>
  <c r="T69" i="3"/>
  <c r="I19" i="5"/>
  <c r="M22" i="5"/>
  <c r="L20" i="5"/>
  <c r="M24" i="5"/>
  <c r="J20" i="5"/>
  <c r="U20" i="3"/>
  <c r="L20" i="3"/>
  <c r="T99" i="3"/>
  <c r="I25" i="5"/>
  <c r="K25" i="5"/>
  <c r="J19" i="5"/>
  <c r="I20" i="5"/>
  <c r="K26" i="5"/>
  <c r="I21" i="5"/>
  <c r="V33" i="3"/>
  <c r="V34" i="3"/>
  <c r="O155" i="3"/>
  <c r="X155" i="3" s="1"/>
  <c r="O151" i="3"/>
  <c r="P151" i="3" s="1"/>
  <c r="O115" i="3"/>
  <c r="P115" i="3" s="1"/>
  <c r="V36" i="3"/>
  <c r="O167" i="3"/>
  <c r="P167" i="3" s="1"/>
  <c r="V23" i="3"/>
  <c r="V37" i="3"/>
  <c r="T194" i="3"/>
  <c r="T193" i="3"/>
  <c r="T188" i="3"/>
  <c r="T184" i="3"/>
  <c r="O179" i="3"/>
  <c r="O175" i="3"/>
  <c r="T166" i="3"/>
  <c r="T162" i="3"/>
  <c r="T161" i="3"/>
  <c r="T156" i="3"/>
  <c r="T143" i="3"/>
  <c r="T138" i="3"/>
  <c r="T127" i="3"/>
  <c r="T111" i="3"/>
  <c r="T105" i="3"/>
  <c r="T100" i="3"/>
  <c r="T97" i="3"/>
  <c r="T96" i="3"/>
  <c r="O95" i="3"/>
  <c r="P95" i="3" s="1"/>
  <c r="T89" i="3"/>
  <c r="T88" i="3"/>
  <c r="O87" i="3"/>
  <c r="T83" i="3"/>
  <c r="T77" i="3"/>
  <c r="T73" i="3"/>
  <c r="T65" i="3"/>
  <c r="T191" i="3"/>
  <c r="T186" i="3"/>
  <c r="T182" i="3"/>
  <c r="T168" i="3"/>
  <c r="T164" i="3"/>
  <c r="O159" i="3"/>
  <c r="P159" i="3" s="1"/>
  <c r="T154" i="3"/>
  <c r="T146" i="3"/>
  <c r="T140" i="3"/>
  <c r="T136" i="3"/>
  <c r="T132" i="3"/>
  <c r="T131" i="3"/>
  <c r="T125" i="3"/>
  <c r="T119" i="3"/>
  <c r="T115" i="3"/>
  <c r="T114" i="3"/>
  <c r="T108" i="3"/>
  <c r="T102" i="3"/>
  <c r="T93" i="3"/>
  <c r="T85" i="3"/>
  <c r="T79" i="3"/>
  <c r="O75" i="3"/>
  <c r="L25" i="5"/>
  <c r="M23" i="5"/>
  <c r="M21" i="5"/>
  <c r="M29" i="5"/>
  <c r="M18" i="5"/>
  <c r="L29" i="5"/>
  <c r="L23" i="5"/>
  <c r="L22" i="5"/>
  <c r="L21" i="5"/>
  <c r="L26" i="5"/>
  <c r="M20" i="5"/>
  <c r="O121" i="3"/>
  <c r="O81" i="3"/>
  <c r="O73" i="3"/>
  <c r="T71" i="3"/>
  <c r="O150" i="3"/>
  <c r="W150" i="3" s="1"/>
  <c r="O129" i="3"/>
  <c r="P129" i="3" s="1"/>
  <c r="T63" i="3"/>
  <c r="T195" i="3"/>
  <c r="T190" i="3"/>
  <c r="T189" i="3"/>
  <c r="T185" i="3"/>
  <c r="T171" i="3"/>
  <c r="T163" i="3"/>
  <c r="T158" i="3"/>
  <c r="T157" i="3"/>
  <c r="T153" i="3"/>
  <c r="T135" i="3"/>
  <c r="T129" i="3"/>
  <c r="T124" i="3"/>
  <c r="T123" i="3"/>
  <c r="T122" i="3"/>
  <c r="T113" i="3"/>
  <c r="T107" i="3"/>
  <c r="T101" i="3"/>
  <c r="O100" i="3"/>
  <c r="P100" i="3" s="1"/>
  <c r="T98" i="3"/>
  <c r="T91" i="3"/>
  <c r="T90" i="3"/>
  <c r="T187" i="3"/>
  <c r="O182" i="3"/>
  <c r="P182" i="3" s="1"/>
  <c r="T178" i="3"/>
  <c r="T174" i="3"/>
  <c r="T173" i="3"/>
  <c r="T169" i="3"/>
  <c r="T165" i="3"/>
  <c r="T160" i="3"/>
  <c r="T147" i="3"/>
  <c r="T142" i="3"/>
  <c r="T141" i="3"/>
  <c r="O132" i="3"/>
  <c r="T120" i="3"/>
  <c r="T103" i="3"/>
  <c r="T95" i="3"/>
  <c r="T94" i="3"/>
  <c r="T87" i="3"/>
  <c r="T81" i="3"/>
  <c r="T64" i="3"/>
  <c r="H29" i="5"/>
  <c r="F20" i="5"/>
  <c r="F22" i="5"/>
  <c r="F23" i="5"/>
  <c r="H26" i="5"/>
  <c r="D24" i="5"/>
  <c r="E18" i="5"/>
  <c r="F27" i="5"/>
  <c r="C23" i="5"/>
  <c r="D23" i="5"/>
  <c r="E22" i="5"/>
  <c r="G25" i="5"/>
  <c r="H22" i="5"/>
  <c r="E25" i="5"/>
  <c r="K28" i="4"/>
  <c r="Q28" i="4" s="1"/>
  <c r="R28" i="4" s="1"/>
  <c r="F18" i="5"/>
  <c r="F25" i="5"/>
  <c r="G29" i="5"/>
  <c r="G27" i="5"/>
  <c r="C18" i="5"/>
  <c r="G28" i="5"/>
  <c r="F24" i="5"/>
  <c r="F26" i="5"/>
  <c r="F29" i="5"/>
  <c r="C20" i="5"/>
  <c r="G21" i="5"/>
  <c r="H24" i="5"/>
  <c r="D27" i="5"/>
  <c r="C24" i="5"/>
  <c r="E23" i="5"/>
  <c r="C21" i="5"/>
  <c r="C27" i="5"/>
  <c r="G18" i="5"/>
  <c r="F21" i="5"/>
  <c r="G24" i="5"/>
  <c r="E28" i="5"/>
  <c r="G26" i="5"/>
  <c r="D22" i="5"/>
  <c r="H28" i="5"/>
  <c r="K75" i="4"/>
  <c r="Q75" i="4" s="1"/>
  <c r="R75" i="4" s="1"/>
  <c r="E27" i="5"/>
  <c r="E29" i="5"/>
  <c r="C26" i="5"/>
  <c r="D18" i="5"/>
  <c r="C19" i="5"/>
  <c r="D19" i="5"/>
  <c r="H19" i="5"/>
  <c r="H21" i="5"/>
  <c r="G19" i="5"/>
  <c r="D28" i="5"/>
  <c r="E24" i="5"/>
  <c r="H25" i="5"/>
  <c r="F28" i="5"/>
  <c r="E19" i="5"/>
  <c r="H18" i="5"/>
  <c r="K76" i="4"/>
  <c r="Q76" i="4" s="1"/>
  <c r="R76" i="4" s="1"/>
  <c r="K62" i="4"/>
  <c r="Q62" i="4" s="1"/>
  <c r="R62" i="4" s="1"/>
  <c r="K59" i="4"/>
  <c r="Q59" i="4" s="1"/>
  <c r="R59" i="4" s="1"/>
  <c r="K47" i="4"/>
  <c r="Q47" i="4" s="1"/>
  <c r="R47" i="4" s="1"/>
  <c r="K45" i="4"/>
  <c r="Q45" i="4" s="1"/>
  <c r="R45" i="4" s="1"/>
  <c r="K41" i="4"/>
  <c r="Q41" i="4" s="1"/>
  <c r="R41" i="4" s="1"/>
  <c r="K39" i="4"/>
  <c r="Q39" i="4" s="1"/>
  <c r="R39" i="4" s="1"/>
  <c r="K30" i="4"/>
  <c r="Q30" i="4" s="1"/>
  <c r="R30" i="4" s="1"/>
  <c r="K26" i="4"/>
  <c r="Q26" i="4" s="1"/>
  <c r="R26" i="4" s="1"/>
  <c r="I22" i="5"/>
  <c r="K18" i="5"/>
  <c r="K24" i="5"/>
  <c r="J22" i="5"/>
  <c r="J23" i="5"/>
  <c r="I23" i="5"/>
  <c r="I28" i="5"/>
  <c r="K29" i="5"/>
  <c r="K19" i="5"/>
  <c r="J25" i="5"/>
  <c r="I26" i="5"/>
  <c r="K27" i="5"/>
  <c r="K28" i="5"/>
  <c r="J18" i="5"/>
  <c r="J27" i="5"/>
  <c r="J24" i="5"/>
  <c r="K23" i="5"/>
  <c r="K22" i="5"/>
  <c r="K21" i="5"/>
  <c r="I29" i="5"/>
  <c r="J28" i="5"/>
  <c r="J26" i="5"/>
  <c r="I27" i="5"/>
  <c r="J21" i="5"/>
  <c r="K20" i="5"/>
  <c r="J29" i="5"/>
  <c r="I24" i="5"/>
  <c r="T55" i="3"/>
  <c r="R44" i="3"/>
  <c r="S44" i="3"/>
  <c r="L44" i="3"/>
  <c r="O44" i="3" s="1"/>
  <c r="S43" i="3"/>
  <c r="R42" i="3"/>
  <c r="S42" i="3"/>
  <c r="L42" i="3"/>
  <c r="U38" i="3"/>
  <c r="L38" i="3"/>
  <c r="Q44" i="3"/>
  <c r="S31" i="3"/>
  <c r="L31" i="3"/>
  <c r="O31" i="3" s="1"/>
  <c r="R31" i="3"/>
  <c r="V31" i="3"/>
  <c r="R30" i="3"/>
  <c r="V30" i="3"/>
  <c r="S30" i="3"/>
  <c r="H30" i="3"/>
  <c r="Q30" i="3" s="1"/>
  <c r="L56" i="3"/>
  <c r="V56" i="3"/>
  <c r="S41" i="3"/>
  <c r="V41" i="3"/>
  <c r="U40" i="3"/>
  <c r="V40" i="3"/>
  <c r="S40" i="3"/>
  <c r="L39" i="3"/>
  <c r="V39" i="3"/>
  <c r="S38" i="3"/>
  <c r="S48" i="3"/>
  <c r="L57" i="3"/>
  <c r="S56" i="3"/>
  <c r="U56" i="3"/>
  <c r="S46" i="3"/>
  <c r="U46" i="3"/>
  <c r="L46" i="3"/>
  <c r="V46" i="3"/>
  <c r="V48" i="3"/>
  <c r="S47" i="3"/>
  <c r="U47" i="3"/>
  <c r="V47" i="3"/>
  <c r="L47" i="3"/>
  <c r="V35" i="3"/>
  <c r="S37" i="3"/>
  <c r="U39" i="3"/>
  <c r="L41" i="3"/>
  <c r="S39" i="3"/>
  <c r="S33" i="3"/>
  <c r="U33" i="3"/>
  <c r="Y15" i="3"/>
  <c r="R22" i="3"/>
  <c r="R26" i="3"/>
  <c r="V22" i="3"/>
  <c r="R24" i="3"/>
  <c r="R28" i="3"/>
  <c r="V26" i="3"/>
  <c r="S24" i="3"/>
  <c r="U24" i="3"/>
  <c r="L26" i="3"/>
  <c r="U22" i="3"/>
  <c r="U26" i="3"/>
  <c r="V28" i="3"/>
  <c r="L28" i="3"/>
  <c r="R20" i="3"/>
  <c r="V20" i="3"/>
  <c r="O169" i="3"/>
  <c r="P169" i="3" s="1"/>
  <c r="O193" i="3"/>
  <c r="P193" i="3" s="1"/>
  <c r="O173" i="3"/>
  <c r="P173" i="3" s="1"/>
  <c r="O166" i="3"/>
  <c r="P166" i="3" s="1"/>
  <c r="O77" i="3"/>
  <c r="P77" i="3" s="1"/>
  <c r="O189" i="3"/>
  <c r="P189" i="3" s="1"/>
  <c r="O165" i="3"/>
  <c r="P165" i="3" s="1"/>
  <c r="O141" i="3"/>
  <c r="P141" i="3" s="1"/>
  <c r="O185" i="3"/>
  <c r="O184" i="3"/>
  <c r="O65" i="3"/>
  <c r="P65" i="3" s="1"/>
  <c r="O140" i="3"/>
  <c r="O188" i="3"/>
  <c r="O136" i="3"/>
  <c r="P136" i="3" s="1"/>
  <c r="O135" i="3"/>
  <c r="P135" i="3" s="1"/>
  <c r="O94" i="3"/>
  <c r="O55" i="3"/>
  <c r="O147" i="3"/>
  <c r="Q150" i="3"/>
  <c r="T150" i="3" s="1"/>
  <c r="Q75" i="3"/>
  <c r="T75" i="3" s="1"/>
  <c r="Q128" i="3"/>
  <c r="T128" i="3" s="1"/>
  <c r="O128" i="3"/>
  <c r="P128" i="3" s="1"/>
  <c r="Q72" i="3"/>
  <c r="T72" i="3" s="1"/>
  <c r="O72" i="3"/>
  <c r="P72" i="3" s="1"/>
  <c r="O186" i="3"/>
  <c r="P186" i="3" s="1"/>
  <c r="Q86" i="3"/>
  <c r="T86" i="3" s="1"/>
  <c r="O86" i="3"/>
  <c r="P86" i="3" s="1"/>
  <c r="Q80" i="3"/>
  <c r="T80" i="3" s="1"/>
  <c r="O80" i="3"/>
  <c r="P80" i="3" s="1"/>
  <c r="O103" i="3"/>
  <c r="P103" i="3" s="1"/>
  <c r="O161" i="3"/>
  <c r="P161" i="3" s="1"/>
  <c r="Q149" i="3"/>
  <c r="T149" i="3" s="1"/>
  <c r="O149" i="3"/>
  <c r="P149" i="3" s="1"/>
  <c r="Q139" i="3"/>
  <c r="T139" i="3" s="1"/>
  <c r="O139" i="3"/>
  <c r="Q104" i="3"/>
  <c r="T104" i="3" s="1"/>
  <c r="O104" i="3"/>
  <c r="P104" i="3" s="1"/>
  <c r="Q82" i="3"/>
  <c r="T82" i="3" s="1"/>
  <c r="O82" i="3"/>
  <c r="Q181" i="3"/>
  <c r="T181" i="3" s="1"/>
  <c r="O181" i="3"/>
  <c r="P181" i="3" s="1"/>
  <c r="Q137" i="3"/>
  <c r="T137" i="3" s="1"/>
  <c r="O137" i="3"/>
  <c r="P137" i="3" s="1"/>
  <c r="O122" i="3"/>
  <c r="P122" i="3" s="1"/>
  <c r="Q183" i="3"/>
  <c r="T183" i="3" s="1"/>
  <c r="O183" i="3"/>
  <c r="P183" i="3" s="1"/>
  <c r="Q177" i="3"/>
  <c r="T177" i="3" s="1"/>
  <c r="O177" i="3"/>
  <c r="P177" i="3" s="1"/>
  <c r="Q130" i="3"/>
  <c r="T130" i="3" s="1"/>
  <c r="O130" i="3"/>
  <c r="P130" i="3" s="1"/>
  <c r="Q76" i="3"/>
  <c r="T76" i="3" s="1"/>
  <c r="O76" i="3"/>
  <c r="Q74" i="3"/>
  <c r="T74" i="3" s="1"/>
  <c r="O74" i="3"/>
  <c r="P74" i="3" s="1"/>
  <c r="O52" i="3"/>
  <c r="P52" i="3" s="1"/>
  <c r="Q52" i="3"/>
  <c r="T52" i="3" s="1"/>
  <c r="O71" i="3"/>
  <c r="O154" i="3"/>
  <c r="P154" i="3" s="1"/>
  <c r="O88" i="3"/>
  <c r="P88" i="3" s="1"/>
  <c r="O119" i="3"/>
  <c r="P119" i="3" s="1"/>
  <c r="O187" i="3"/>
  <c r="O96" i="3"/>
  <c r="Q170" i="3"/>
  <c r="T170" i="3" s="1"/>
  <c r="O170" i="3"/>
  <c r="P170" i="3" s="1"/>
  <c r="Q145" i="3"/>
  <c r="T145" i="3" s="1"/>
  <c r="O145" i="3"/>
  <c r="P145" i="3" s="1"/>
  <c r="Q121" i="3"/>
  <c r="T121" i="3" s="1"/>
  <c r="Q112" i="3"/>
  <c r="T112" i="3" s="1"/>
  <c r="O112" i="3"/>
  <c r="P112" i="3" s="1"/>
  <c r="Q106" i="3"/>
  <c r="T106" i="3" s="1"/>
  <c r="O106" i="3"/>
  <c r="P106" i="3" s="1"/>
  <c r="Q62" i="3"/>
  <c r="T62" i="3" s="1"/>
  <c r="O62" i="3"/>
  <c r="P62" i="3" s="1"/>
  <c r="Q54" i="3"/>
  <c r="T54" i="3" s="1"/>
  <c r="O54" i="3"/>
  <c r="P54" i="3" s="1"/>
  <c r="O195" i="3"/>
  <c r="Q70" i="3"/>
  <c r="T70" i="3" s="1"/>
  <c r="O70" i="3"/>
  <c r="P70" i="3" s="1"/>
  <c r="Q78" i="3"/>
  <c r="T78" i="3" s="1"/>
  <c r="O78" i="3"/>
  <c r="P78" i="3" s="1"/>
  <c r="Q84" i="3"/>
  <c r="T84" i="3" s="1"/>
  <c r="O84" i="3"/>
  <c r="P84" i="3" s="1"/>
  <c r="Q110" i="3"/>
  <c r="T110" i="3" s="1"/>
  <c r="O110" i="3"/>
  <c r="P110" i="3" s="1"/>
  <c r="Q117" i="3"/>
  <c r="T117" i="3" s="1"/>
  <c r="O117" i="3"/>
  <c r="P117" i="3" s="1"/>
  <c r="O116" i="3"/>
  <c r="P116" i="3" s="1"/>
  <c r="Q116" i="3"/>
  <c r="T116" i="3" s="1"/>
  <c r="Q118" i="3"/>
  <c r="T118" i="3" s="1"/>
  <c r="O118" i="3"/>
  <c r="P118" i="3" s="1"/>
  <c r="O191" i="3"/>
  <c r="P191" i="3" s="1"/>
  <c r="O163" i="3"/>
  <c r="P163" i="3" s="1"/>
  <c r="O156" i="3"/>
  <c r="P156" i="3" s="1"/>
  <c r="Q179" i="3"/>
  <c r="T179" i="3" s="1"/>
  <c r="Q175" i="3"/>
  <c r="T175" i="3" s="1"/>
  <c r="Q167" i="3"/>
  <c r="T167" i="3" s="1"/>
  <c r="Q159" i="3"/>
  <c r="T159" i="3" s="1"/>
  <c r="Q155" i="3"/>
  <c r="T155" i="3" s="1"/>
  <c r="Q151" i="3"/>
  <c r="T151" i="3" s="1"/>
  <c r="Q133" i="3"/>
  <c r="T133" i="3" s="1"/>
  <c r="O133" i="3"/>
  <c r="P133" i="3" s="1"/>
  <c r="Q126" i="3"/>
  <c r="T126" i="3" s="1"/>
  <c r="O126" i="3"/>
  <c r="P126" i="3" s="1"/>
  <c r="Q53" i="3"/>
  <c r="T53" i="3" s="1"/>
  <c r="O53" i="3"/>
  <c r="P53" i="3" s="1"/>
  <c r="Q31" i="3"/>
  <c r="Q192" i="3"/>
  <c r="T192" i="3" s="1"/>
  <c r="O192" i="3"/>
  <c r="P192" i="3" s="1"/>
  <c r="Q180" i="3"/>
  <c r="T180" i="3" s="1"/>
  <c r="O180" i="3"/>
  <c r="P180" i="3" s="1"/>
  <c r="Q176" i="3"/>
  <c r="T176" i="3" s="1"/>
  <c r="O176" i="3"/>
  <c r="P176" i="3" s="1"/>
  <c r="Q172" i="3"/>
  <c r="T172" i="3" s="1"/>
  <c r="O172" i="3"/>
  <c r="P172" i="3" s="1"/>
  <c r="Q152" i="3"/>
  <c r="T152" i="3" s="1"/>
  <c r="O152" i="3"/>
  <c r="P152" i="3" s="1"/>
  <c r="Q148" i="3"/>
  <c r="T148" i="3" s="1"/>
  <c r="O148" i="3"/>
  <c r="P148" i="3" s="1"/>
  <c r="Q144" i="3"/>
  <c r="T144" i="3" s="1"/>
  <c r="O144" i="3"/>
  <c r="P144" i="3" s="1"/>
  <c r="Q134" i="3"/>
  <c r="T134" i="3" s="1"/>
  <c r="O134" i="3"/>
  <c r="P134" i="3" s="1"/>
  <c r="Q109" i="3"/>
  <c r="T109" i="3" s="1"/>
  <c r="O109" i="3"/>
  <c r="P109" i="3" s="1"/>
  <c r="F20" i="3"/>
  <c r="F21" i="3"/>
  <c r="F25" i="3"/>
  <c r="F29" i="3"/>
  <c r="F35" i="3"/>
  <c r="F39" i="3"/>
  <c r="F43" i="3"/>
  <c r="H40" i="3" s="1"/>
  <c r="F47" i="3"/>
  <c r="F51" i="3"/>
  <c r="F55" i="3"/>
  <c r="F59" i="3"/>
  <c r="F63" i="3"/>
  <c r="H60" i="3" s="1"/>
  <c r="F67" i="3"/>
  <c r="F71" i="3"/>
  <c r="F75" i="3"/>
  <c r="F79" i="3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F139" i="3"/>
  <c r="F143" i="3"/>
  <c r="F147" i="3"/>
  <c r="F151" i="3"/>
  <c r="F155" i="3"/>
  <c r="F159" i="3"/>
  <c r="F163" i="3"/>
  <c r="F167" i="3"/>
  <c r="F171" i="3"/>
  <c r="F175" i="3"/>
  <c r="F179" i="3"/>
  <c r="F183" i="3"/>
  <c r="F187" i="3"/>
  <c r="F191" i="3"/>
  <c r="W43" i="4" l="1"/>
  <c r="V43" i="4"/>
  <c r="Z63" i="4"/>
  <c r="Z45" i="4"/>
  <c r="V34" i="4"/>
  <c r="W53" i="4"/>
  <c r="V53" i="4"/>
  <c r="W56" i="4"/>
  <c r="V56" i="4"/>
  <c r="Z70" i="4"/>
  <c r="W34" i="4"/>
  <c r="L14" i="2"/>
  <c r="P12" i="2" s="1"/>
  <c r="V59" i="4"/>
  <c r="V32" i="4"/>
  <c r="V31" i="4"/>
  <c r="W71" i="4"/>
  <c r="V28" i="4"/>
  <c r="Z76" i="4"/>
  <c r="W75" i="4"/>
  <c r="W32" i="4"/>
  <c r="V65" i="4"/>
  <c r="W65" i="4"/>
  <c r="K16" i="4"/>
  <c r="M14" i="4" s="1"/>
  <c r="V66" i="4"/>
  <c r="W66" i="4"/>
  <c r="V71" i="4"/>
  <c r="V29" i="4"/>
  <c r="V68" i="4"/>
  <c r="Z30" i="4"/>
  <c r="Z66" i="4"/>
  <c r="W76" i="4"/>
  <c r="V76" i="4"/>
  <c r="W31" i="4"/>
  <c r="Z25" i="4"/>
  <c r="W28" i="4"/>
  <c r="V58" i="4"/>
  <c r="H66" i="3"/>
  <c r="H68" i="3"/>
  <c r="H67" i="3"/>
  <c r="W168" i="3"/>
  <c r="W91" i="3"/>
  <c r="W85" i="3"/>
  <c r="W101" i="3"/>
  <c r="W125" i="3"/>
  <c r="X146" i="3"/>
  <c r="P146" i="3"/>
  <c r="X85" i="3"/>
  <c r="X125" i="3"/>
  <c r="W146" i="3"/>
  <c r="W96" i="3"/>
  <c r="P96" i="3"/>
  <c r="X101" i="3"/>
  <c r="P178" i="3"/>
  <c r="X171" i="3"/>
  <c r="W171" i="3"/>
  <c r="Z76" i="3"/>
  <c r="P76" i="3"/>
  <c r="Z146" i="3"/>
  <c r="W178" i="3"/>
  <c r="Y178" i="3" s="1"/>
  <c r="X120" i="3"/>
  <c r="X91" i="3"/>
  <c r="W69" i="3"/>
  <c r="W107" i="3"/>
  <c r="Y107" i="3" s="1"/>
  <c r="W160" i="3"/>
  <c r="W89" i="3"/>
  <c r="X164" i="3"/>
  <c r="Y164" i="3" s="1"/>
  <c r="X79" i="3"/>
  <c r="W93" i="3"/>
  <c r="W92" i="3"/>
  <c r="W123" i="3"/>
  <c r="Y123" i="3" s="1"/>
  <c r="W115" i="3"/>
  <c r="X92" i="3"/>
  <c r="W138" i="3"/>
  <c r="X138" i="3"/>
  <c r="X160" i="3"/>
  <c r="P107" i="3"/>
  <c r="P194" i="3"/>
  <c r="W194" i="3"/>
  <c r="Y194" i="3" s="1"/>
  <c r="W157" i="3"/>
  <c r="X157" i="3"/>
  <c r="X162" i="3"/>
  <c r="W90" i="3"/>
  <c r="W162" i="3"/>
  <c r="X90" i="3"/>
  <c r="X69" i="3"/>
  <c r="X153" i="3"/>
  <c r="W131" i="3"/>
  <c r="W174" i="3"/>
  <c r="X93" i="3"/>
  <c r="W108" i="3"/>
  <c r="X115" i="3"/>
  <c r="P113" i="3"/>
  <c r="X114" i="3"/>
  <c r="Y114" i="3" s="1"/>
  <c r="X131" i="3"/>
  <c r="W99" i="3"/>
  <c r="W105" i="3"/>
  <c r="W142" i="3"/>
  <c r="X113" i="3"/>
  <c r="Y113" i="3" s="1"/>
  <c r="X98" i="3"/>
  <c r="P123" i="3"/>
  <c r="W79" i="3"/>
  <c r="W153" i="3"/>
  <c r="X142" i="3"/>
  <c r="X63" i="3"/>
  <c r="H61" i="3"/>
  <c r="Q61" i="3" s="1"/>
  <c r="T61" i="3" s="1"/>
  <c r="X102" i="3"/>
  <c r="X99" i="3"/>
  <c r="W127" i="3"/>
  <c r="X105" i="3"/>
  <c r="X111" i="3"/>
  <c r="Y111" i="3" s="1"/>
  <c r="W120" i="3"/>
  <c r="X64" i="3"/>
  <c r="P111" i="3"/>
  <c r="P97" i="3"/>
  <c r="W124" i="3"/>
  <c r="X97" i="3"/>
  <c r="Y97" i="3" s="1"/>
  <c r="W83" i="3"/>
  <c r="W102" i="3"/>
  <c r="X168" i="3"/>
  <c r="W143" i="3"/>
  <c r="X127" i="3"/>
  <c r="X190" i="3"/>
  <c r="W158" i="3"/>
  <c r="X89" i="3"/>
  <c r="W64" i="3"/>
  <c r="Q60" i="3"/>
  <c r="T60" i="3" s="1"/>
  <c r="O60" i="3"/>
  <c r="X60" i="3" s="1"/>
  <c r="H46" i="3"/>
  <c r="H26" i="3"/>
  <c r="O26" i="3" s="1"/>
  <c r="X26" i="3" s="1"/>
  <c r="H29" i="3"/>
  <c r="X124" i="3"/>
  <c r="X108" i="3"/>
  <c r="X143" i="3"/>
  <c r="W63" i="3"/>
  <c r="P114" i="3"/>
  <c r="P164" i="3"/>
  <c r="X174" i="3"/>
  <c r="W190" i="3"/>
  <c r="X158" i="3"/>
  <c r="W98" i="3"/>
  <c r="X83" i="3"/>
  <c r="H57" i="3"/>
  <c r="Q57" i="3" s="1"/>
  <c r="T57" i="3" s="1"/>
  <c r="H59" i="3"/>
  <c r="H58" i="3"/>
  <c r="H56" i="3"/>
  <c r="Q56" i="3" s="1"/>
  <c r="T56" i="3" s="1"/>
  <c r="H49" i="3"/>
  <c r="H51" i="3"/>
  <c r="H48" i="3"/>
  <c r="H50" i="3"/>
  <c r="W94" i="3"/>
  <c r="P94" i="3"/>
  <c r="W140" i="3"/>
  <c r="P140" i="3"/>
  <c r="W132" i="3"/>
  <c r="P132" i="3"/>
  <c r="X150" i="3"/>
  <c r="Y150" i="3" s="1"/>
  <c r="P150" i="3"/>
  <c r="X73" i="3"/>
  <c r="P73" i="3"/>
  <c r="W71" i="3"/>
  <c r="P71" i="3"/>
  <c r="W75" i="3"/>
  <c r="P75" i="3"/>
  <c r="X87" i="3"/>
  <c r="P87" i="3"/>
  <c r="X175" i="3"/>
  <c r="P175" i="3"/>
  <c r="W82" i="3"/>
  <c r="P82" i="3"/>
  <c r="X139" i="3"/>
  <c r="P139" i="3"/>
  <c r="X147" i="3"/>
  <c r="P147" i="3"/>
  <c r="X184" i="3"/>
  <c r="P184" i="3"/>
  <c r="W81" i="3"/>
  <c r="P81" i="3"/>
  <c r="X179" i="3"/>
  <c r="P179" i="3"/>
  <c r="X195" i="3"/>
  <c r="P195" i="3"/>
  <c r="W187" i="3"/>
  <c r="P187" i="3"/>
  <c r="W55" i="3"/>
  <c r="P55" i="3"/>
  <c r="X188" i="3"/>
  <c r="P188" i="3"/>
  <c r="X185" i="3"/>
  <c r="P185" i="3"/>
  <c r="W179" i="3"/>
  <c r="X121" i="3"/>
  <c r="P121" i="3"/>
  <c r="W155" i="3"/>
  <c r="Y155" i="3" s="1"/>
  <c r="P155" i="3"/>
  <c r="W151" i="3"/>
  <c r="W73" i="3"/>
  <c r="X151" i="3"/>
  <c r="X132" i="3"/>
  <c r="W147" i="3"/>
  <c r="X75" i="3"/>
  <c r="X166" i="3"/>
  <c r="X167" i="3"/>
  <c r="W95" i="3"/>
  <c r="X94" i="3"/>
  <c r="W175" i="3"/>
  <c r="X182" i="3"/>
  <c r="W87" i="3"/>
  <c r="W167" i="3"/>
  <c r="X95" i="3"/>
  <c r="W188" i="3"/>
  <c r="X159" i="3"/>
  <c r="W159" i="3"/>
  <c r="X86" i="3"/>
  <c r="W77" i="3"/>
  <c r="W121" i="3"/>
  <c r="X129" i="3"/>
  <c r="W129" i="3"/>
  <c r="X187" i="3"/>
  <c r="Z166" i="3"/>
  <c r="W185" i="3"/>
  <c r="W166" i="3"/>
  <c r="W182" i="3"/>
  <c r="X81" i="3"/>
  <c r="X140" i="3"/>
  <c r="W100" i="3"/>
  <c r="X100" i="3"/>
  <c r="X55" i="3"/>
  <c r="X44" i="3"/>
  <c r="W44" i="3"/>
  <c r="T44" i="3"/>
  <c r="H42" i="3"/>
  <c r="H43" i="3"/>
  <c r="H37" i="3"/>
  <c r="O37" i="3" s="1"/>
  <c r="H41" i="3"/>
  <c r="Q41" i="3" s="1"/>
  <c r="T41" i="3" s="1"/>
  <c r="X31" i="3"/>
  <c r="W31" i="3"/>
  <c r="T31" i="3"/>
  <c r="T30" i="3"/>
  <c r="O30" i="3"/>
  <c r="W30" i="3" s="1"/>
  <c r="H27" i="3"/>
  <c r="H28" i="3"/>
  <c r="Q28" i="3" s="1"/>
  <c r="T28" i="3" s="1"/>
  <c r="H25" i="3"/>
  <c r="Q25" i="3" s="1"/>
  <c r="T25" i="3" s="1"/>
  <c r="H47" i="3"/>
  <c r="O40" i="3"/>
  <c r="Q40" i="3"/>
  <c r="T40" i="3" s="1"/>
  <c r="H39" i="3"/>
  <c r="H38" i="3"/>
  <c r="H36" i="3"/>
  <c r="H33" i="3"/>
  <c r="H35" i="3"/>
  <c r="H34" i="3"/>
  <c r="H22" i="3"/>
  <c r="H21" i="3"/>
  <c r="H20" i="3"/>
  <c r="H23" i="3"/>
  <c r="H24" i="3"/>
  <c r="W135" i="3"/>
  <c r="W65" i="3"/>
  <c r="X65" i="3"/>
  <c r="W189" i="3"/>
  <c r="W139" i="3"/>
  <c r="W193" i="3"/>
  <c r="W136" i="3"/>
  <c r="X136" i="3"/>
  <c r="Z136" i="3"/>
  <c r="X169" i="3"/>
  <c r="W169" i="3"/>
  <c r="W184" i="3"/>
  <c r="X77" i="3"/>
  <c r="X189" i="3"/>
  <c r="X193" i="3"/>
  <c r="W141" i="3"/>
  <c r="X141" i="3"/>
  <c r="X135" i="3"/>
  <c r="X165" i="3"/>
  <c r="W165" i="3"/>
  <c r="X173" i="3"/>
  <c r="W173" i="3"/>
  <c r="W88" i="3"/>
  <c r="X88" i="3"/>
  <c r="W104" i="3"/>
  <c r="X104" i="3"/>
  <c r="W86" i="3"/>
  <c r="X96" i="3"/>
  <c r="Z96" i="3"/>
  <c r="W154" i="3"/>
  <c r="X154" i="3"/>
  <c r="X177" i="3"/>
  <c r="W177" i="3"/>
  <c r="X103" i="3"/>
  <c r="W103" i="3"/>
  <c r="Z86" i="3"/>
  <c r="X54" i="3"/>
  <c r="W54" i="3"/>
  <c r="Z106" i="3"/>
  <c r="W106" i="3"/>
  <c r="X106" i="3"/>
  <c r="X170" i="3"/>
  <c r="W170" i="3"/>
  <c r="X52" i="3"/>
  <c r="W52" i="3"/>
  <c r="X181" i="3"/>
  <c r="W181" i="3"/>
  <c r="X82" i="3"/>
  <c r="W161" i="3"/>
  <c r="X161" i="3"/>
  <c r="X80" i="3"/>
  <c r="W80" i="3"/>
  <c r="X62" i="3"/>
  <c r="W62" i="3"/>
  <c r="X112" i="3"/>
  <c r="W112" i="3"/>
  <c r="W137" i="3"/>
  <c r="X137" i="3"/>
  <c r="W149" i="3"/>
  <c r="X149" i="3"/>
  <c r="W195" i="3"/>
  <c r="X76" i="3"/>
  <c r="W76" i="3"/>
  <c r="W128" i="3"/>
  <c r="X128" i="3"/>
  <c r="X71" i="3"/>
  <c r="W145" i="3"/>
  <c r="X145" i="3"/>
  <c r="X119" i="3"/>
  <c r="W119" i="3"/>
  <c r="W74" i="3"/>
  <c r="X74" i="3"/>
  <c r="X130" i="3"/>
  <c r="W130" i="3"/>
  <c r="W183" i="3"/>
  <c r="X183" i="3"/>
  <c r="X122" i="3"/>
  <c r="W122" i="3"/>
  <c r="W186" i="3"/>
  <c r="X186" i="3"/>
  <c r="Z186" i="3"/>
  <c r="X72" i="3"/>
  <c r="W72" i="3"/>
  <c r="W53" i="3"/>
  <c r="X53" i="3"/>
  <c r="W116" i="3"/>
  <c r="Z116" i="3"/>
  <c r="X116" i="3"/>
  <c r="X78" i="3"/>
  <c r="W78" i="3"/>
  <c r="W148" i="3"/>
  <c r="X148" i="3"/>
  <c r="W180" i="3"/>
  <c r="X180" i="3"/>
  <c r="X117" i="3"/>
  <c r="W117" i="3"/>
  <c r="W133" i="3"/>
  <c r="X133" i="3"/>
  <c r="X191" i="3"/>
  <c r="W191" i="3"/>
  <c r="X110" i="3"/>
  <c r="W110" i="3"/>
  <c r="X84" i="3"/>
  <c r="W84" i="3"/>
  <c r="X70" i="3"/>
  <c r="W70" i="3"/>
  <c r="W126" i="3"/>
  <c r="Z126" i="3"/>
  <c r="X126" i="3"/>
  <c r="Z156" i="3"/>
  <c r="X156" i="3"/>
  <c r="W156" i="3"/>
  <c r="W134" i="3"/>
  <c r="X134" i="3"/>
  <c r="X172" i="3"/>
  <c r="W172" i="3"/>
  <c r="X163" i="3"/>
  <c r="W163" i="3"/>
  <c r="X118" i="3"/>
  <c r="W118" i="3"/>
  <c r="X109" i="3"/>
  <c r="W109" i="3"/>
  <c r="W144" i="3"/>
  <c r="X144" i="3"/>
  <c r="X152" i="3"/>
  <c r="W152" i="3"/>
  <c r="W176" i="3"/>
  <c r="Z176" i="3"/>
  <c r="X176" i="3"/>
  <c r="W192" i="3"/>
  <c r="X192" i="3"/>
  <c r="Y96" i="3" l="1"/>
  <c r="Y171" i="3"/>
  <c r="Y120" i="3"/>
  <c r="Y69" i="3"/>
  <c r="O11" i="3"/>
  <c r="O15" i="3" s="1"/>
  <c r="Q15" i="3" s="1"/>
  <c r="O68" i="3"/>
  <c r="Q68" i="3"/>
  <c r="T68" i="3" s="1"/>
  <c r="Y168" i="3"/>
  <c r="Q66" i="3"/>
  <c r="T66" i="3" s="1"/>
  <c r="O66" i="3"/>
  <c r="O67" i="3"/>
  <c r="Q67" i="3"/>
  <c r="T67" i="3" s="1"/>
  <c r="Y146" i="3"/>
  <c r="Y91" i="3"/>
  <c r="Y125" i="3"/>
  <c r="Y160" i="3"/>
  <c r="Y85" i="3"/>
  <c r="Y79" i="3"/>
  <c r="Y101" i="3"/>
  <c r="Y195" i="3"/>
  <c r="Y131" i="3"/>
  <c r="Y93" i="3"/>
  <c r="Y92" i="3"/>
  <c r="Y162" i="3"/>
  <c r="Y89" i="3"/>
  <c r="Y157" i="3"/>
  <c r="Y90" i="3"/>
  <c r="Y174" i="3"/>
  <c r="Y127" i="3"/>
  <c r="Y105" i="3"/>
  <c r="Y142" i="3"/>
  <c r="Y138" i="3"/>
  <c r="Y115" i="3"/>
  <c r="Q26" i="3"/>
  <c r="T26" i="3" s="1"/>
  <c r="Y153" i="3"/>
  <c r="Y151" i="3"/>
  <c r="Y98" i="3"/>
  <c r="O61" i="3"/>
  <c r="X61" i="3" s="1"/>
  <c r="Y99" i="3"/>
  <c r="Y63" i="3"/>
  <c r="Y108" i="3"/>
  <c r="Y64" i="3"/>
  <c r="Y190" i="3"/>
  <c r="Y158" i="3"/>
  <c r="Y124" i="3"/>
  <c r="Y83" i="3"/>
  <c r="W60" i="3"/>
  <c r="Y60" i="3" s="1"/>
  <c r="Y143" i="3"/>
  <c r="Y102" i="3"/>
  <c r="Q29" i="3"/>
  <c r="T29" i="3" s="1"/>
  <c r="O29" i="3"/>
  <c r="Y139" i="3"/>
  <c r="Y175" i="3"/>
  <c r="Y87" i="3"/>
  <c r="Y147" i="3"/>
  <c r="Y94" i="3"/>
  <c r="Y185" i="3"/>
  <c r="Y132" i="3"/>
  <c r="Y189" i="3"/>
  <c r="Y184" i="3"/>
  <c r="Y81" i="3"/>
  <c r="Y75" i="3"/>
  <c r="Y71" i="3"/>
  <c r="Y82" i="3"/>
  <c r="Y140" i="3"/>
  <c r="Y166" i="3"/>
  <c r="Y73" i="3"/>
  <c r="Q58" i="3"/>
  <c r="T58" i="3" s="1"/>
  <c r="O58" i="3"/>
  <c r="Q59" i="3"/>
  <c r="T59" i="3" s="1"/>
  <c r="O59" i="3"/>
  <c r="O57" i="3"/>
  <c r="O56" i="3"/>
  <c r="O48" i="3"/>
  <c r="Q48" i="3"/>
  <c r="T48" i="3" s="1"/>
  <c r="O51" i="3"/>
  <c r="Q51" i="3"/>
  <c r="T51" i="3" s="1"/>
  <c r="Q50" i="3"/>
  <c r="T50" i="3" s="1"/>
  <c r="O50" i="3"/>
  <c r="Q49" i="3"/>
  <c r="T49" i="3" s="1"/>
  <c r="O49" i="3"/>
  <c r="Y55" i="3"/>
  <c r="Y188" i="3"/>
  <c r="Y187" i="3"/>
  <c r="Y121" i="3"/>
  <c r="Y179" i="3"/>
  <c r="Y77" i="3"/>
  <c r="Y95" i="3"/>
  <c r="Y167" i="3"/>
  <c r="Y182" i="3"/>
  <c r="Y159" i="3"/>
  <c r="Y86" i="3"/>
  <c r="Y129" i="3"/>
  <c r="Y192" i="3"/>
  <c r="Y152" i="3"/>
  <c r="Y100" i="3"/>
  <c r="Y116" i="3"/>
  <c r="Y181" i="3"/>
  <c r="Y54" i="3"/>
  <c r="Y141" i="3"/>
  <c r="Y169" i="3"/>
  <c r="Y44" i="3"/>
  <c r="Y145" i="3"/>
  <c r="Y88" i="3"/>
  <c r="Y135" i="3"/>
  <c r="Y65" i="3"/>
  <c r="Y134" i="3"/>
  <c r="Y104" i="3"/>
  <c r="Y118" i="3"/>
  <c r="Y156" i="3"/>
  <c r="Y70" i="3"/>
  <c r="Y84" i="3"/>
  <c r="Y110" i="3"/>
  <c r="Y76" i="3"/>
  <c r="Y154" i="3"/>
  <c r="Y173" i="3"/>
  <c r="Y31" i="3"/>
  <c r="Q37" i="3"/>
  <c r="T37" i="3" s="1"/>
  <c r="O41" i="3"/>
  <c r="Q43" i="3"/>
  <c r="T43" i="3" s="1"/>
  <c r="O43" i="3"/>
  <c r="Q42" i="3"/>
  <c r="T42" i="3" s="1"/>
  <c r="O42" i="3"/>
  <c r="O25" i="3"/>
  <c r="W25" i="3" s="1"/>
  <c r="X30" i="3"/>
  <c r="Y30" i="3" s="1"/>
  <c r="O28" i="3"/>
  <c r="W28" i="3" s="1"/>
  <c r="W26" i="3"/>
  <c r="Y26" i="3" s="1"/>
  <c r="Q27" i="3"/>
  <c r="T27" i="3" s="1"/>
  <c r="O27" i="3"/>
  <c r="O47" i="3"/>
  <c r="Q47" i="3"/>
  <c r="T47" i="3" s="1"/>
  <c r="Q46" i="3"/>
  <c r="T46" i="3" s="1"/>
  <c r="O46" i="3"/>
  <c r="X40" i="3"/>
  <c r="W40" i="3"/>
  <c r="O36" i="3"/>
  <c r="Q36" i="3"/>
  <c r="T36" i="3" s="1"/>
  <c r="Q38" i="3"/>
  <c r="T38" i="3" s="1"/>
  <c r="O38" i="3"/>
  <c r="Q39" i="3"/>
  <c r="T39" i="3" s="1"/>
  <c r="O39" i="3"/>
  <c r="W37" i="3"/>
  <c r="X37" i="3"/>
  <c r="O34" i="3"/>
  <c r="Q34" i="3"/>
  <c r="T34" i="3" s="1"/>
  <c r="O35" i="3"/>
  <c r="Q35" i="3"/>
  <c r="T35" i="3" s="1"/>
  <c r="Q33" i="3"/>
  <c r="O33" i="3"/>
  <c r="O23" i="3"/>
  <c r="Q23" i="3"/>
  <c r="T23" i="3" s="1"/>
  <c r="Q20" i="3"/>
  <c r="O20" i="3"/>
  <c r="Q21" i="3"/>
  <c r="T21" i="3" s="1"/>
  <c r="O21" i="3"/>
  <c r="O24" i="3"/>
  <c r="Q24" i="3"/>
  <c r="T24" i="3" s="1"/>
  <c r="O22" i="3"/>
  <c r="Q22" i="3"/>
  <c r="T22" i="3" s="1"/>
  <c r="Y161" i="3"/>
  <c r="Y137" i="3"/>
  <c r="Y62" i="3"/>
  <c r="Y170" i="3"/>
  <c r="Y136" i="3"/>
  <c r="Y183" i="3"/>
  <c r="Y128" i="3"/>
  <c r="Y112" i="3"/>
  <c r="Y165" i="3"/>
  <c r="Y193" i="3"/>
  <c r="Y122" i="3"/>
  <c r="Y74" i="3"/>
  <c r="Y80" i="3"/>
  <c r="Y106" i="3"/>
  <c r="Y103" i="3"/>
  <c r="Y177" i="3"/>
  <c r="Y72" i="3"/>
  <c r="Y186" i="3"/>
  <c r="Y130" i="3"/>
  <c r="Y119" i="3"/>
  <c r="Y149" i="3"/>
  <c r="Y52" i="3"/>
  <c r="Y176" i="3"/>
  <c r="Y109" i="3"/>
  <c r="Y163" i="3"/>
  <c r="Y191" i="3"/>
  <c r="Y133" i="3"/>
  <c r="Y78" i="3"/>
  <c r="Y144" i="3"/>
  <c r="Y117" i="3"/>
  <c r="Y148" i="3"/>
  <c r="Y172" i="3"/>
  <c r="Y126" i="3"/>
  <c r="Y180" i="3"/>
  <c r="Y53" i="3"/>
  <c r="X66" i="3" l="1"/>
  <c r="W66" i="3"/>
  <c r="W68" i="3"/>
  <c r="X68" i="3"/>
  <c r="X67" i="3"/>
  <c r="W67" i="3"/>
  <c r="W61" i="3"/>
  <c r="Y61" i="3" s="1"/>
  <c r="X29" i="3"/>
  <c r="W29" i="3"/>
  <c r="X59" i="3"/>
  <c r="W59" i="3"/>
  <c r="X56" i="3"/>
  <c r="W56" i="3"/>
  <c r="W58" i="3"/>
  <c r="X58" i="3"/>
  <c r="W57" i="3"/>
  <c r="X57" i="3"/>
  <c r="W49" i="3"/>
  <c r="X49" i="3"/>
  <c r="W51" i="3"/>
  <c r="X51" i="3"/>
  <c r="X50" i="3"/>
  <c r="W50" i="3"/>
  <c r="X48" i="3"/>
  <c r="W48" i="3"/>
  <c r="P29" i="3"/>
  <c r="P44" i="3"/>
  <c r="X25" i="3"/>
  <c r="Y25" i="3" s="1"/>
  <c r="P42" i="3"/>
  <c r="X28" i="3"/>
  <c r="Y28" i="3" s="1"/>
  <c r="P30" i="3"/>
  <c r="P43" i="3"/>
  <c r="P31" i="3"/>
  <c r="W42" i="3"/>
  <c r="X42" i="3"/>
  <c r="W41" i="3"/>
  <c r="X41" i="3"/>
  <c r="X43" i="3"/>
  <c r="W43" i="3"/>
  <c r="P37" i="3"/>
  <c r="W27" i="3"/>
  <c r="X27" i="3"/>
  <c r="Y40" i="3"/>
  <c r="W46" i="3"/>
  <c r="X46" i="3"/>
  <c r="X47" i="3"/>
  <c r="W47" i="3"/>
  <c r="P41" i="3"/>
  <c r="P40" i="3"/>
  <c r="X38" i="3"/>
  <c r="W38" i="3"/>
  <c r="P38" i="3"/>
  <c r="P39" i="3"/>
  <c r="W39" i="3"/>
  <c r="X39" i="3"/>
  <c r="P36" i="3"/>
  <c r="W36" i="3"/>
  <c r="X36" i="3"/>
  <c r="Y37" i="3"/>
  <c r="W33" i="3"/>
  <c r="X33" i="3"/>
  <c r="P33" i="3"/>
  <c r="W35" i="3"/>
  <c r="X35" i="3"/>
  <c r="P35" i="3"/>
  <c r="AB13" i="3"/>
  <c r="AA13" i="3"/>
  <c r="T33" i="3"/>
  <c r="AG32" i="3"/>
  <c r="P34" i="3"/>
  <c r="X34" i="3"/>
  <c r="W34" i="3"/>
  <c r="P27" i="3"/>
  <c r="P26" i="3"/>
  <c r="P28" i="3"/>
  <c r="P25" i="3"/>
  <c r="T20" i="3"/>
  <c r="AG19" i="3"/>
  <c r="P21" i="3"/>
  <c r="W21" i="3"/>
  <c r="X21" i="3"/>
  <c r="X20" i="3"/>
  <c r="W20" i="3"/>
  <c r="P20" i="3"/>
  <c r="X24" i="3"/>
  <c r="W24" i="3"/>
  <c r="P24" i="3"/>
  <c r="W22" i="3"/>
  <c r="X22" i="3"/>
  <c r="P22" i="3"/>
  <c r="P23" i="3"/>
  <c r="W23" i="3"/>
  <c r="X23" i="3"/>
  <c r="Y66" i="3" l="1"/>
  <c r="Y68" i="3"/>
  <c r="P66" i="3"/>
  <c r="P67" i="3" s="1"/>
  <c r="P68" i="3" s="1"/>
  <c r="Z66" i="3"/>
  <c r="Y67" i="3"/>
  <c r="Y29" i="3"/>
  <c r="P46" i="3"/>
  <c r="Y59" i="3"/>
  <c r="Y57" i="3"/>
  <c r="Y56" i="3"/>
  <c r="Y58" i="3"/>
  <c r="Y51" i="3"/>
  <c r="Y48" i="3"/>
  <c r="Y49" i="3"/>
  <c r="Y50" i="3"/>
  <c r="Y41" i="3"/>
  <c r="Y43" i="3"/>
  <c r="Y42" i="3"/>
  <c r="Y20" i="3"/>
  <c r="Y27" i="3"/>
  <c r="Z46" i="3"/>
  <c r="Y23" i="3"/>
  <c r="Y21" i="3"/>
  <c r="Y46" i="3"/>
  <c r="Y47" i="3"/>
  <c r="Q11" i="3"/>
  <c r="Q12" i="3" s="1"/>
  <c r="Y36" i="3"/>
  <c r="Y38" i="3"/>
  <c r="Y39" i="3"/>
  <c r="Y34" i="3"/>
  <c r="Y35" i="3"/>
  <c r="Y33" i="3"/>
  <c r="Y24" i="3"/>
  <c r="Y22" i="3"/>
  <c r="P47" i="3" l="1"/>
  <c r="P48" i="3" s="1"/>
  <c r="P49" i="3" s="1"/>
  <c r="P50" i="3" s="1"/>
  <c r="P51" i="3" s="1"/>
  <c r="Z56" i="3"/>
  <c r="P56" i="3"/>
  <c r="P57" i="3" s="1"/>
  <c r="P58" i="3" s="1"/>
  <c r="P59" i="3" s="1"/>
  <c r="P60" i="3" s="1"/>
  <c r="P61" i="3" s="1"/>
  <c r="Q13" i="3"/>
  <c r="L15" i="3"/>
  <c r="O13" i="3" s="1"/>
  <c r="Y11" i="3" l="1"/>
  <c r="Y12" i="3" s="1"/>
  <c r="Y13" i="3" s="1"/>
</calcChain>
</file>

<file path=xl/comments1.xml><?xml version="1.0" encoding="utf-8"?>
<comments xmlns="http://schemas.openxmlformats.org/spreadsheetml/2006/main">
  <authors>
    <author>*</author>
    <author>suporte tecnico</author>
  </authors>
  <commentList>
    <comment ref="H13" authorId="0" shapeId="0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8" authorId="1" shapeId="0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</commentList>
</comments>
</file>

<file path=xl/comments2.xml><?xml version="1.0" encoding="utf-8"?>
<comments xmlns="http://schemas.openxmlformats.org/spreadsheetml/2006/main">
  <authors>
    <author>*</author>
    <author>suporte tecnico</author>
  </authors>
  <commentList>
    <comment ref="H12" authorId="0" shapeId="0">
      <text>
        <r>
          <rPr>
            <sz val="12"/>
            <color indexed="81"/>
            <rFont val="Tahoma"/>
            <family val="2"/>
          </rPr>
          <t>Neste campo deverá ser informado o período de ocorrência da demanda máxima no transformador.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81"/>
            <rFont val="Tahoma"/>
            <family val="2"/>
          </rPr>
          <t>D para diurno
N para noturno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17" authorId="1" shapeId="0">
      <text>
        <r>
          <rPr>
            <b/>
            <sz val="10"/>
            <color indexed="81"/>
            <rFont val="Tahoma"/>
            <family val="2"/>
          </rPr>
          <t>Coeficiente de queda de tensão</t>
        </r>
      </text>
    </comment>
  </commentList>
</comments>
</file>

<file path=xl/comments3.xml><?xml version="1.0" encoding="utf-8"?>
<comments xmlns="http://schemas.openxmlformats.org/spreadsheetml/2006/main">
  <authors>
    <author>suporte tecnico</author>
  </authors>
  <commentList>
    <comment ref="H18" authorId="0" shapeId="0">
      <text>
        <r>
          <rPr>
            <b/>
            <sz val="10"/>
            <color indexed="81"/>
            <rFont val="Tahoma"/>
            <family val="2"/>
          </rPr>
          <t>Carga Acumulada 
após 10 anos de 
crescimento vegetativo</t>
        </r>
      </text>
    </comment>
    <comment ref="I18" authorId="0" shapeId="0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  <comment ref="J18" authorId="0" shapeId="0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  <comment ref="K18" authorId="0" shapeId="0">
      <text>
        <r>
          <rPr>
            <b/>
            <sz val="10"/>
            <color indexed="81"/>
            <rFont val="Tahoma"/>
            <family val="2"/>
          </rPr>
          <t>Coeficiente
Percentual 
de Perdas</t>
        </r>
      </text>
    </comment>
  </commentList>
</comments>
</file>

<file path=xl/sharedStrings.xml><?xml version="1.0" encoding="utf-8"?>
<sst xmlns="http://schemas.openxmlformats.org/spreadsheetml/2006/main" count="582" uniqueCount="289">
  <si>
    <t>Trecho</t>
  </si>
  <si>
    <t>Ohm/km</t>
  </si>
  <si>
    <t>1/0</t>
  </si>
  <si>
    <t>Fator de Carga</t>
  </si>
  <si>
    <t>Fator de Potência</t>
  </si>
  <si>
    <t>2</t>
  </si>
  <si>
    <t>Características Físicas e Elétricas de Condutores de Alumínio</t>
  </si>
  <si>
    <t>Alumínio com Alma de Aço - CAA</t>
  </si>
  <si>
    <t>Código</t>
  </si>
  <si>
    <t>Condutor AWG/MCM</t>
  </si>
  <si>
    <t xml:space="preserve">Formação Nº de Fios </t>
  </si>
  <si>
    <t xml:space="preserve">Peso Nominal (kg/m) </t>
  </si>
  <si>
    <t>Resistência  70º - 60 Hz  (Ohm)/km</t>
  </si>
  <si>
    <t>Reatância Indutiva (Ohm)/km</t>
  </si>
  <si>
    <t>Corrente Admissível (A)</t>
  </si>
  <si>
    <t>AWG/MCM</t>
  </si>
  <si>
    <t>Nº de Fios</t>
  </si>
  <si>
    <t>e=1,693m</t>
  </si>
  <si>
    <t>e=1,322m</t>
  </si>
  <si>
    <t>e=0,800m</t>
  </si>
  <si>
    <t>SWAN</t>
  </si>
  <si>
    <t>6(1)</t>
  </si>
  <si>
    <t>SPARROW</t>
  </si>
  <si>
    <t>RAVEN</t>
  </si>
  <si>
    <t>PENGUIN</t>
  </si>
  <si>
    <t>4/0</t>
  </si>
  <si>
    <t>LINNET</t>
  </si>
  <si>
    <t>26(7)</t>
  </si>
  <si>
    <t>Alumínio Simples - CA</t>
  </si>
  <si>
    <t>e=0,252m</t>
  </si>
  <si>
    <t>e=0,200m</t>
  </si>
  <si>
    <t>ROSE</t>
  </si>
  <si>
    <t>IRIS</t>
  </si>
  <si>
    <t>POPPY</t>
  </si>
  <si>
    <t>OXLIP</t>
  </si>
  <si>
    <t>TULIP</t>
  </si>
  <si>
    <t xml:space="preserve">Do ponto </t>
  </si>
  <si>
    <t>Ao Ponto</t>
  </si>
  <si>
    <t>Cargas Especiais kVA</t>
  </si>
  <si>
    <t>Lado A</t>
  </si>
  <si>
    <t>Configuração da Rede</t>
  </si>
  <si>
    <t>Queda de Tensão % no Trecho</t>
  </si>
  <si>
    <t>Tensão</t>
  </si>
  <si>
    <t>Derivadas do 3Ø</t>
  </si>
  <si>
    <t>Monofásicas</t>
  </si>
  <si>
    <t>KV=</t>
  </si>
  <si>
    <t>COSØ=</t>
  </si>
  <si>
    <t>Ângulo=</t>
  </si>
  <si>
    <t>*Tensão entre fases</t>
  </si>
  <si>
    <t xml:space="preserve">CABO CAA </t>
  </si>
  <si>
    <t>CABO CA</t>
  </si>
  <si>
    <t xml:space="preserve">   AWG ou MCM</t>
  </si>
  <si>
    <t>e = 1,322m</t>
  </si>
  <si>
    <t>e = 1,693m</t>
  </si>
  <si>
    <t>e = 0,800m</t>
  </si>
  <si>
    <t>e = 0,252m</t>
  </si>
  <si>
    <t>e = 0,200m</t>
  </si>
  <si>
    <t>3F</t>
  </si>
  <si>
    <t>2F + N</t>
  </si>
  <si>
    <t>1F + N</t>
  </si>
  <si>
    <t>MONO 3 fios</t>
  </si>
  <si>
    <t>MONO 2 fios</t>
  </si>
  <si>
    <t xml:space="preserve">4 (4) </t>
  </si>
  <si>
    <t>2 (2)</t>
  </si>
  <si>
    <t>2 (4)</t>
  </si>
  <si>
    <t>1/0 (4)</t>
  </si>
  <si>
    <t>1/0 (2)</t>
  </si>
  <si>
    <t>4/0 (4)</t>
  </si>
  <si>
    <t>4/0 (2)</t>
  </si>
  <si>
    <t>4/0 (1/0)</t>
  </si>
  <si>
    <t>336,4 (4)</t>
  </si>
  <si>
    <t>336,4 (2)</t>
  </si>
  <si>
    <t>336,4 (1/0)</t>
  </si>
  <si>
    <t>336,4 (4/0)</t>
  </si>
  <si>
    <t>K%</t>
  </si>
  <si>
    <t>Queda de Tensão % Acumulada</t>
  </si>
  <si>
    <t>Tensão (V)=</t>
  </si>
  <si>
    <t>Fator de Crescimento%</t>
  </si>
  <si>
    <t>Fator de Perdas</t>
  </si>
  <si>
    <t>Condutor Fase (Neutro)</t>
  </si>
  <si>
    <t>Nº       Consumidores Tradicionais</t>
  </si>
  <si>
    <t>4 (4)</t>
  </si>
  <si>
    <t>a</t>
  </si>
  <si>
    <t>b</t>
  </si>
  <si>
    <t>c</t>
  </si>
  <si>
    <t>d</t>
  </si>
  <si>
    <t>e</t>
  </si>
  <si>
    <t>f</t>
  </si>
  <si>
    <t>g</t>
  </si>
  <si>
    <t>Carregamento %</t>
  </si>
  <si>
    <t>h</t>
  </si>
  <si>
    <t>i</t>
  </si>
  <si>
    <t>j</t>
  </si>
  <si>
    <t>l</t>
  </si>
  <si>
    <t>m</t>
  </si>
  <si>
    <t>Corrente Máxima Admitida</t>
  </si>
  <si>
    <t>Perdas no trecho kWh/ano</t>
  </si>
  <si>
    <t>Carga Acumulada kVA</t>
  </si>
  <si>
    <t>kVA / Consumidor Tradicional</t>
  </si>
  <si>
    <t>Saída do TRAFO</t>
  </si>
  <si>
    <t>Saída</t>
  </si>
  <si>
    <t>--------------</t>
  </si>
  <si>
    <t>---------------</t>
  </si>
  <si>
    <t>----------------</t>
  </si>
  <si>
    <t>------------</t>
  </si>
  <si>
    <t>Lado B</t>
  </si>
  <si>
    <t>Tronco</t>
  </si>
  <si>
    <t>Perdas Totais kWh/ano</t>
  </si>
  <si>
    <t>Maior Carregamento</t>
  </si>
  <si>
    <t>%</t>
  </si>
  <si>
    <t>Ao ponto</t>
  </si>
  <si>
    <t>Cabo</t>
  </si>
  <si>
    <t>Maior comprimento do tronco</t>
  </si>
  <si>
    <t>Comprimento</t>
  </si>
  <si>
    <t>4</t>
  </si>
  <si>
    <t>Demanda Total kVA</t>
  </si>
  <si>
    <t xml:space="preserve">Perdas/Demandada </t>
  </si>
  <si>
    <t>Trafo a ser utilizado</t>
  </si>
  <si>
    <t>Maior queda acumulada</t>
  </si>
  <si>
    <t>-------------</t>
  </si>
  <si>
    <t>336,4</t>
  </si>
  <si>
    <t>Cabo (CAA ou CA)</t>
  </si>
  <si>
    <t>Tensão kV</t>
  </si>
  <si>
    <t>Rede Primária</t>
  </si>
  <si>
    <t>Rede Secundária</t>
  </si>
  <si>
    <t>Redes Primárias (k% x km x MVA)</t>
  </si>
  <si>
    <t>Redes Secundárias (k% x m x kVA)</t>
  </si>
  <si>
    <t>D</t>
  </si>
  <si>
    <t>N</t>
  </si>
  <si>
    <t xml:space="preserve">kVA 5º ano </t>
  </si>
  <si>
    <t>Cargas Especiais MVA</t>
  </si>
  <si>
    <t>Carga Acumulada MVA</t>
  </si>
  <si>
    <t>Comprimento do Trecho        km</t>
  </si>
  <si>
    <t>K%   CAA</t>
  </si>
  <si>
    <t>K%   CA</t>
  </si>
  <si>
    <t xml:space="preserve">K%  </t>
  </si>
  <si>
    <t>Corrente Máx. Admitida CAA</t>
  </si>
  <si>
    <t>Corrente Máx. Admitida CA</t>
  </si>
  <si>
    <t>km</t>
  </si>
  <si>
    <t>Ramal 1</t>
  </si>
  <si>
    <t>Ramal 2</t>
  </si>
  <si>
    <t>Ramal 3</t>
  </si>
  <si>
    <t>Ramal 4</t>
  </si>
  <si>
    <t>kVA</t>
  </si>
  <si>
    <t>Cargas Tradicionais MVA</t>
  </si>
  <si>
    <t>Queda de Tensão %    no Trecho</t>
  </si>
  <si>
    <t>REDE PRIMÁRIA</t>
  </si>
  <si>
    <t>Onde:</t>
  </si>
  <si>
    <t>Rf : resistência do cabo fase</t>
  </si>
  <si>
    <t>Sistema Trifásico</t>
  </si>
  <si>
    <t>K% = [Rf*COSØ+Xf*SENØ]*100 / kV^2</t>
  </si>
  <si>
    <t>Rn : resistência do cabo neutro</t>
  </si>
  <si>
    <t>Xf : reatância indutiva do cabo fase</t>
  </si>
  <si>
    <t>Sistema Bifásico com Neutro</t>
  </si>
  <si>
    <t>K% = [(Rf+0,5Rn)*COSØ+(Xf+0,5Xn)*SENØ]*150 / kV^2</t>
  </si>
  <si>
    <t>Xn : reatância indutiva do cabo neutro</t>
  </si>
  <si>
    <t>V : tensão entre fases</t>
  </si>
  <si>
    <t>Sistema Monofásico com Neutro</t>
  </si>
  <si>
    <t xml:space="preserve">K% = [(Rf+Rn)*COSØ+(Xf+Xn)*SENØ]*300 / kV^2 </t>
  </si>
  <si>
    <t>Ø : defasagem entre a tensão e a corrente</t>
  </si>
  <si>
    <t>REDE SECUNDÁRIA DERIVADA DA 3Ø</t>
  </si>
  <si>
    <t>K% = [Rf*COSØ+Xf*SENØ]*10000 / V^2</t>
  </si>
  <si>
    <t>K% = [(Rf+0,5Rn)*COSØ+(Xf+0,5Xn)*SENØ]*15000 / V^2</t>
  </si>
  <si>
    <t xml:space="preserve">K% = [(Rf+Rn)*COSØ+(Xf+Xn)*SENØ]*30000 / V^2 </t>
  </si>
  <si>
    <t>REDE SECUNDÁRIA MONOFÁSICA</t>
  </si>
  <si>
    <t>Sistema Monofásico a 3 fios</t>
  </si>
  <si>
    <t xml:space="preserve">K% = [(0,5Rf+Rn)*COSØ+(0,5Xf+Xn)*SENØ]*10000 / (V/2)^2 </t>
  </si>
  <si>
    <t>Sistema Monofásico a 2 fios</t>
  </si>
  <si>
    <t xml:space="preserve">K% = [(Rf+Rn)*COSØ+(Xf+Xn)*SENØ]*10000 / (V/2)^2 </t>
  </si>
  <si>
    <r>
      <t>kV : tensão entre fases x10</t>
    </r>
    <r>
      <rPr>
        <vertAlign val="superscript"/>
        <sz val="10"/>
        <rFont val="Arial"/>
        <family val="2"/>
      </rPr>
      <t>-3</t>
    </r>
  </si>
  <si>
    <t>e.e. = d01</t>
  </si>
  <si>
    <t>e.e. = 800mm</t>
  </si>
  <si>
    <t>e.e. = 1322mm</t>
  </si>
  <si>
    <t>e.e. = 1693mm</t>
  </si>
  <si>
    <t>REDE SECUNDÁRIA</t>
  </si>
  <si>
    <t>e.e. = 200mm</t>
  </si>
  <si>
    <t>e.e. = 256mm</t>
  </si>
  <si>
    <r>
      <t>e.e. = (d23 * d13 *d12)</t>
    </r>
    <r>
      <rPr>
        <vertAlign val="superscript"/>
        <sz val="10"/>
        <rFont val="Arial"/>
        <family val="2"/>
      </rPr>
      <t>1/3</t>
    </r>
  </si>
  <si>
    <r>
      <t>e.e. = (d01 * d02 *d12)</t>
    </r>
    <r>
      <rPr>
        <vertAlign val="superscript"/>
        <sz val="10"/>
        <rFont val="Arial"/>
        <family val="2"/>
      </rPr>
      <t>1/3</t>
    </r>
  </si>
  <si>
    <r>
      <t>e.e. = (1500 * 2200 * 700)</t>
    </r>
    <r>
      <rPr>
        <vertAlign val="superscript"/>
        <sz val="10"/>
        <rFont val="Arial"/>
        <family val="2"/>
      </rPr>
      <t>1/3</t>
    </r>
  </si>
  <si>
    <r>
      <t>e.e. = (1312 * 1693 * 2200)</t>
    </r>
    <r>
      <rPr>
        <vertAlign val="superscript"/>
        <sz val="10"/>
        <rFont val="Arial"/>
        <family val="2"/>
      </rPr>
      <t>1/3</t>
    </r>
  </si>
  <si>
    <r>
      <t>e.e. = (d12 * d13 * d23)</t>
    </r>
    <r>
      <rPr>
        <vertAlign val="superscript"/>
        <sz val="10"/>
        <rFont val="Arial"/>
        <family val="2"/>
      </rPr>
      <t>1/6</t>
    </r>
  </si>
  <si>
    <r>
      <t>e.e. = (200 * 400 * 200)</t>
    </r>
    <r>
      <rPr>
        <vertAlign val="superscript"/>
        <sz val="10"/>
        <rFont val="Arial"/>
        <family val="2"/>
      </rPr>
      <t>1/3</t>
    </r>
  </si>
  <si>
    <t>Ohm/km CA</t>
  </si>
  <si>
    <t>Ohm/km CAA</t>
  </si>
  <si>
    <t>Projeto:</t>
  </si>
  <si>
    <t xml:space="preserve">Autor: </t>
  </si>
  <si>
    <t>Empresa:</t>
  </si>
  <si>
    <t>Local:</t>
  </si>
  <si>
    <t>Proprietário:</t>
  </si>
  <si>
    <t>Fator de crescimento%</t>
  </si>
  <si>
    <t>Carga pesada (D/N)</t>
  </si>
  <si>
    <t>Horizonte de estudo</t>
  </si>
  <si>
    <t>anos</t>
  </si>
  <si>
    <t>Comprimento do Trecho            m</t>
  </si>
  <si>
    <t>Demanda Total kVA 5º ano</t>
  </si>
  <si>
    <t>Comprimento do Trecho                  m</t>
  </si>
  <si>
    <t>Queda de Tensão %      no Trecho</t>
  </si>
  <si>
    <t>Corrente Máxima PE</t>
  </si>
  <si>
    <t>Corrente Máxima XLPE</t>
  </si>
  <si>
    <t>Carregamento</t>
  </si>
  <si>
    <t>Ohm/km PE</t>
  </si>
  <si>
    <t>Perdas no trecho PE</t>
  </si>
  <si>
    <t>Perdas no trecho XLPE</t>
  </si>
  <si>
    <t>Perdas no Trecho kWh/ano</t>
  </si>
  <si>
    <t>XLPE</t>
  </si>
  <si>
    <t>-------------------</t>
  </si>
  <si>
    <t>------------------</t>
  </si>
  <si>
    <t>Características Físicas e Elétricas de Condutores  Multiplex</t>
  </si>
  <si>
    <t>Descrição      do               Cabo</t>
  </si>
  <si>
    <t>Formação e Seção (Fase-Neutro)      em mm</t>
  </si>
  <si>
    <t>Resistência (Ohm/km)</t>
  </si>
  <si>
    <t>Corrente Máxima Admitida (A)</t>
  </si>
  <si>
    <t>K% para m x kVA</t>
  </si>
  <si>
    <t>PE</t>
  </si>
  <si>
    <t>DUPLEX</t>
  </si>
  <si>
    <t>1 x 10 + 1 x 10</t>
  </si>
  <si>
    <t>1 x 16 + 1 x 16</t>
  </si>
  <si>
    <t>1 x 25 + 1 x 25</t>
  </si>
  <si>
    <t>TRIPLEX</t>
  </si>
  <si>
    <t>2 x 10 + 1 x 10</t>
  </si>
  <si>
    <t>2 x 16 + 1 x 16</t>
  </si>
  <si>
    <t>2 x 25 + 1 x 25</t>
  </si>
  <si>
    <t>2 x 35 + 1 x 35</t>
  </si>
  <si>
    <t>2 x 70 + 1 x 70</t>
  </si>
  <si>
    <t>QUADRUPLEX</t>
  </si>
  <si>
    <t>3 x 10 + 1 x 10</t>
  </si>
  <si>
    <t>3 x 16 + 1 x 16</t>
  </si>
  <si>
    <t>3 x 25 + 1 x 25</t>
  </si>
  <si>
    <t>3 x 35 + 1 x 35</t>
  </si>
  <si>
    <t>3 x 70 + 1 x 70</t>
  </si>
  <si>
    <t>3 x 120 + 1 x 70</t>
  </si>
  <si>
    <t>Relatório de Rede Secundária Convencional de Distribuição</t>
  </si>
  <si>
    <t>Relatório de Rede Secundária Multiplexada de Distribuição</t>
  </si>
  <si>
    <t>Relatório de Rede Primária de Distribuição</t>
  </si>
  <si>
    <t>Ramal 5</t>
  </si>
  <si>
    <t>Ramal 6</t>
  </si>
  <si>
    <t>Ramal 7</t>
  </si>
  <si>
    <t>Ramal 8</t>
  </si>
  <si>
    <t>Ramal 9</t>
  </si>
  <si>
    <t>Ramal 10</t>
  </si>
  <si>
    <t>2 x 50 + 1 x 50</t>
  </si>
  <si>
    <t>3 x 50 + 1 x 50</t>
  </si>
  <si>
    <t>.</t>
  </si>
  <si>
    <t>CRITÉRIO DE PROJETOS DE REDE DE DISTRIBUIÇÃO</t>
  </si>
  <si>
    <t>Coeficiente de Queda de Tensão</t>
  </si>
  <si>
    <t>CRITÉRIO DE PROJETOS DE REDES DE DISTRIBUIÇÃO</t>
  </si>
  <si>
    <t>NORMA E PADRÕES</t>
  </si>
  <si>
    <t>Ramais</t>
  </si>
  <si>
    <t>Diurno</t>
  </si>
  <si>
    <t>Noturno</t>
  </si>
  <si>
    <t>CAA</t>
  </si>
  <si>
    <t>CA</t>
  </si>
  <si>
    <t xml:space="preserve"> Cabo (PE ou XLPE?)</t>
  </si>
  <si>
    <t>NORMAS E PADRÕES - EMISSÃO 00 22/10/2014</t>
  </si>
  <si>
    <t>Cargas Especiais (kVA)</t>
  </si>
  <si>
    <t>Corrente   (Ampères)</t>
  </si>
  <si>
    <t>Corrente     (Ampères)</t>
  </si>
  <si>
    <t xml:space="preserve">CREA: </t>
  </si>
  <si>
    <t>Local e Data:</t>
  </si>
  <si>
    <t>CREA:</t>
  </si>
  <si>
    <t>Duplex</t>
  </si>
  <si>
    <t>Triplex</t>
  </si>
  <si>
    <t>Quadruplex</t>
  </si>
  <si>
    <t>Área do terreno (m²)</t>
  </si>
  <si>
    <t>Demanda individual diversificada (kVA)</t>
  </si>
  <si>
    <t>601 a 1200</t>
  </si>
  <si>
    <t>1201 a 2000</t>
  </si>
  <si>
    <t>Acima de 2000</t>
  </si>
  <si>
    <t>Área Lote (m²)</t>
  </si>
  <si>
    <t>ANEXO - DIMENSIONAMENTO DE REDES DE DISTRIBUIÇÃO DE BT MULTIPLEXADA</t>
  </si>
  <si>
    <t>Carga Pesada</t>
  </si>
  <si>
    <t>Retância Indutiva (Ohm/km)</t>
  </si>
  <si>
    <t>K%
(kVA x m)</t>
  </si>
  <si>
    <t>;</t>
  </si>
  <si>
    <t xml:space="preserve"> </t>
  </si>
  <si>
    <t>Maior Carregamento por trecho</t>
  </si>
  <si>
    <t>Deverão ser preenchidos somente os campos em azul</t>
  </si>
  <si>
    <t>A planilha é utilizada para cálculo de queda de tensão</t>
  </si>
  <si>
    <t>Deve ser definidos os troncos (lado A e lado B) do transformador e preenchidos separadamente no campo "tronco"</t>
  </si>
  <si>
    <t>Deve ser definidos os ramais que derivam de outro ramal e preenchidos separadamente no campo "ramais"</t>
  </si>
  <si>
    <t>Deve ser definidos os ramais que derivam de uma barra do tronco e preenchidos separadamente no campo "ramais"</t>
  </si>
  <si>
    <t>O critério de queda de tensão máxima acumulada não deve ultrapassar 5%</t>
  </si>
  <si>
    <r>
      <t xml:space="preserve">É necessário que seja elaborado o diagrama de barras (postes, </t>
    </r>
    <r>
      <rPr>
        <i/>
        <sz val="12"/>
        <rFont val="Arial"/>
        <family val="2"/>
      </rPr>
      <t>flys</t>
    </r>
    <r>
      <rPr>
        <sz val="12"/>
        <rFont val="Arial"/>
        <family val="2"/>
      </rPr>
      <t>), com a respectiva numeração de cada barra, antes do preenchimento da planilha</t>
    </r>
  </si>
  <si>
    <t>A planilha tem capacidade para preenchimento de até dois troncos (lado A e lado B) e no máximo 15 ramais, onde cada tronco e cada ramal devem ser preenchidos separadamente em seus respectivos campos</t>
  </si>
  <si>
    <t>Procedimentos para preeenchimento</t>
  </si>
  <si>
    <t>CEMAR</t>
  </si>
  <si>
    <t>CELPA</t>
  </si>
  <si>
    <t>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</si>
</sst>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.00_);_(* \(#,##0.00\);_(* &quot;-&quot;??_);_(@_)"/>
    <numFmt numFmtId="165" formatCode="0.0000"/>
    <numFmt numFmtId="166" formatCode="0.0"/>
    <numFmt numFmtId="167" formatCode="0.00000"/>
    <numFmt numFmtId="168" formatCode="#,##0.0000"/>
    <numFmt numFmtId="169" formatCode="0.000"/>
    <numFmt numFmtId="170" formatCode="0.000%"/>
    <numFmt numFmtId="171" formatCode="0.00000%"/>
    <numFmt numFmtId="172" formatCode="00000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8"/>
      <color indexed="81"/>
      <name val="Tahoma"/>
      <family val="2"/>
    </font>
    <font>
      <b/>
      <sz val="20"/>
      <name val="Swis721 BdCnOul BT"/>
      <family val="5"/>
    </font>
    <font>
      <b/>
      <u/>
      <sz val="14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sz val="18"/>
      <name val="Times New Roman"/>
      <family val="1"/>
    </font>
    <font>
      <sz val="12"/>
      <name val="Arial"/>
      <family val="2"/>
    </font>
    <font>
      <vertAlign val="superscript"/>
      <sz val="10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4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i/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6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/>
    <xf numFmtId="0" fontId="11" fillId="0" borderId="0" xfId="0" applyFont="1" applyFill="1" applyBorder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left"/>
    </xf>
    <xf numFmtId="0" fontId="3" fillId="0" borderId="0" xfId="0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17" fillId="2" borderId="0" xfId="0" applyFont="1" applyFill="1" applyBorder="1"/>
    <xf numFmtId="0" fontId="10" fillId="2" borderId="0" xfId="0" applyFont="1" applyFill="1" applyBorder="1" applyAlignment="1">
      <alignment horizontal="center"/>
    </xf>
    <xf numFmtId="0" fontId="0" fillId="7" borderId="15" xfId="0" applyFill="1" applyBorder="1" applyProtection="1">
      <protection locked="0"/>
    </xf>
    <xf numFmtId="49" fontId="6" fillId="7" borderId="17" xfId="0" applyNumberFormat="1" applyFont="1" applyFill="1" applyBorder="1" applyAlignment="1" applyProtection="1">
      <alignment horizontal="center" vertical="center"/>
      <protection locked="0"/>
    </xf>
    <xf numFmtId="49" fontId="6" fillId="7" borderId="18" xfId="0" applyNumberFormat="1" applyFont="1" applyFill="1" applyBorder="1" applyAlignment="1" applyProtection="1">
      <alignment horizontal="center" vertical="center"/>
      <protection locked="0"/>
    </xf>
    <xf numFmtId="49" fontId="6" fillId="7" borderId="19" xfId="0" applyNumberFormat="1" applyFont="1" applyFill="1" applyBorder="1" applyAlignment="1" applyProtection="1">
      <alignment horizontal="center" vertical="center"/>
      <protection locked="0"/>
    </xf>
    <xf numFmtId="49" fontId="6" fillId="7" borderId="20" xfId="0" applyNumberFormat="1" applyFont="1" applyFill="1" applyBorder="1" applyAlignment="1" applyProtection="1">
      <alignment horizontal="center" vertical="center"/>
      <protection locked="0"/>
    </xf>
    <xf numFmtId="49" fontId="6" fillId="7" borderId="21" xfId="0" applyNumberFormat="1" applyFont="1" applyFill="1" applyBorder="1" applyAlignment="1" applyProtection="1">
      <alignment horizontal="center" vertical="center"/>
      <protection locked="0"/>
    </xf>
    <xf numFmtId="49" fontId="6" fillId="7" borderId="5" xfId="0" applyNumberFormat="1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/>
      <protection locked="0"/>
    </xf>
    <xf numFmtId="49" fontId="6" fillId="7" borderId="6" xfId="0" applyNumberFormat="1" applyFont="1" applyFill="1" applyBorder="1" applyAlignment="1" applyProtection="1">
      <alignment horizontal="center"/>
      <protection locked="0"/>
    </xf>
    <xf numFmtId="49" fontId="6" fillId="7" borderId="5" xfId="0" applyNumberFormat="1" applyFont="1" applyFill="1" applyBorder="1" applyAlignment="1" applyProtection="1">
      <alignment horizontal="center"/>
      <protection locked="0"/>
    </xf>
    <xf numFmtId="49" fontId="6" fillId="7" borderId="22" xfId="0" applyNumberFormat="1" applyFont="1" applyFill="1" applyBorder="1" applyAlignment="1" applyProtection="1">
      <alignment horizontal="center" vertical="center"/>
      <protection locked="0"/>
    </xf>
    <xf numFmtId="49" fontId="6" fillId="7" borderId="17" xfId="0" applyNumberFormat="1" applyFont="1" applyFill="1" applyBorder="1" applyAlignment="1" applyProtection="1">
      <alignment horizontal="center"/>
      <protection locked="0"/>
    </xf>
    <xf numFmtId="49" fontId="6" fillId="7" borderId="18" xfId="0" applyNumberFormat="1" applyFont="1" applyFill="1" applyBorder="1" applyAlignment="1" applyProtection="1">
      <alignment horizontal="center"/>
      <protection locked="0"/>
    </xf>
    <xf numFmtId="0" fontId="6" fillId="7" borderId="22" xfId="0" applyFont="1" applyFill="1" applyBorder="1" applyAlignment="1" applyProtection="1">
      <alignment horizontal="center" vertical="center"/>
      <protection locked="0"/>
    </xf>
    <xf numFmtId="0" fontId="6" fillId="7" borderId="17" xfId="0" applyFont="1" applyFill="1" applyBorder="1" applyAlignment="1" applyProtection="1">
      <alignment horizontal="center" vertical="center"/>
      <protection locked="0"/>
    </xf>
    <xf numFmtId="0" fontId="6" fillId="7" borderId="18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/>
      <protection locked="0"/>
    </xf>
    <xf numFmtId="49" fontId="6" fillId="7" borderId="6" xfId="0" applyNumberFormat="1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6" fillId="7" borderId="6" xfId="0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6" fillId="7" borderId="6" xfId="0" applyFont="1" applyFill="1" applyBorder="1" applyAlignment="1" applyProtection="1">
      <alignment horizontal="center"/>
      <protection locked="0"/>
    </xf>
    <xf numFmtId="49" fontId="6" fillId="7" borderId="23" xfId="0" applyNumberFormat="1" applyFont="1" applyFill="1" applyBorder="1" applyAlignment="1" applyProtection="1">
      <alignment horizontal="center" vertical="center"/>
      <protection locked="0"/>
    </xf>
    <xf numFmtId="49" fontId="6" fillId="7" borderId="24" xfId="0" applyNumberFormat="1" applyFont="1" applyFill="1" applyBorder="1" applyAlignment="1" applyProtection="1">
      <alignment horizontal="center" vertical="center"/>
      <protection locked="0"/>
    </xf>
    <xf numFmtId="0" fontId="6" fillId="7" borderId="23" xfId="0" applyFont="1" applyFill="1" applyBorder="1" applyAlignment="1" applyProtection="1">
      <alignment horizontal="center" vertical="center"/>
      <protection locked="0"/>
    </xf>
    <xf numFmtId="0" fontId="6" fillId="7" borderId="25" xfId="0" applyFont="1" applyFill="1" applyBorder="1" applyAlignment="1" applyProtection="1">
      <alignment horizontal="center" vertical="center"/>
      <protection locked="0"/>
    </xf>
    <xf numFmtId="49" fontId="6" fillId="7" borderId="25" xfId="0" applyNumberFormat="1" applyFont="1" applyFill="1" applyBorder="1" applyAlignment="1" applyProtection="1">
      <alignment horizontal="center" vertical="center"/>
      <protection locked="0"/>
    </xf>
    <xf numFmtId="49" fontId="6" fillId="7" borderId="23" xfId="0" applyNumberFormat="1" applyFont="1" applyFill="1" applyBorder="1" applyAlignment="1" applyProtection="1">
      <alignment horizontal="center"/>
      <protection locked="0"/>
    </xf>
    <xf numFmtId="49" fontId="6" fillId="7" borderId="25" xfId="0" applyNumberFormat="1" applyFont="1" applyFill="1" applyBorder="1" applyAlignment="1" applyProtection="1">
      <alignment horizontal="center"/>
      <protection locked="0"/>
    </xf>
    <xf numFmtId="0" fontId="6" fillId="7" borderId="25" xfId="0" applyFont="1" applyFill="1" applyBorder="1" applyAlignment="1" applyProtection="1">
      <alignment horizontal="center"/>
      <protection locked="0"/>
    </xf>
    <xf numFmtId="0" fontId="0" fillId="7" borderId="14" xfId="0" applyFill="1" applyBorder="1" applyProtection="1">
      <protection locked="0"/>
    </xf>
    <xf numFmtId="49" fontId="6" fillId="6" borderId="1" xfId="0" applyNumberFormat="1" applyFont="1" applyFill="1" applyBorder="1" applyAlignment="1" applyProtection="1">
      <alignment horizontal="center" vertical="center"/>
      <protection locked="0"/>
    </xf>
    <xf numFmtId="49" fontId="6" fillId="6" borderId="5" xfId="0" applyNumberFormat="1" applyFont="1" applyFill="1" applyBorder="1" applyAlignment="1" applyProtection="1">
      <alignment horizontal="center" vertical="center"/>
      <protection locked="0"/>
    </xf>
    <xf numFmtId="49" fontId="6" fillId="6" borderId="6" xfId="0" applyNumberFormat="1" applyFont="1" applyFill="1" applyBorder="1" applyAlignment="1" applyProtection="1">
      <alignment horizontal="center" vertical="center"/>
      <protection locked="0"/>
    </xf>
    <xf numFmtId="0" fontId="6" fillId="6" borderId="5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 vertical="center"/>
      <protection locked="0"/>
    </xf>
    <xf numFmtId="0" fontId="6" fillId="6" borderId="6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 applyProtection="1">
      <alignment horizontal="center"/>
      <protection locked="0"/>
    </xf>
    <xf numFmtId="0" fontId="6" fillId="6" borderId="6" xfId="0" applyFont="1" applyFill="1" applyBorder="1" applyAlignment="1" applyProtection="1">
      <alignment horizontal="center"/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 applyAlignment="1" applyProtection="1">
      <alignment horizontal="right"/>
      <protection locked="0"/>
    </xf>
    <xf numFmtId="49" fontId="6" fillId="6" borderId="22" xfId="0" applyNumberFormat="1" applyFont="1" applyFill="1" applyBorder="1" applyAlignment="1" applyProtection="1">
      <alignment horizontal="center" vertical="center"/>
      <protection locked="0"/>
    </xf>
    <xf numFmtId="49" fontId="6" fillId="6" borderId="21" xfId="0" applyNumberFormat="1" applyFont="1" applyFill="1" applyBorder="1" applyAlignment="1" applyProtection="1">
      <alignment horizontal="center" vertical="center"/>
      <protection locked="0"/>
    </xf>
    <xf numFmtId="0" fontId="6" fillId="6" borderId="22" xfId="0" applyFont="1" applyFill="1" applyBorder="1" applyAlignment="1" applyProtection="1">
      <alignment horizontal="center" vertical="center"/>
      <protection locked="0"/>
    </xf>
    <xf numFmtId="49" fontId="6" fillId="6" borderId="17" xfId="0" applyNumberFormat="1" applyFont="1" applyFill="1" applyBorder="1" applyAlignment="1" applyProtection="1">
      <alignment horizontal="center" vertical="center"/>
      <protection locked="0"/>
    </xf>
    <xf numFmtId="49" fontId="6" fillId="6" borderId="19" xfId="0" applyNumberFormat="1" applyFont="1" applyFill="1" applyBorder="1" applyAlignment="1" applyProtection="1">
      <alignment horizontal="center" vertical="center"/>
      <protection locked="0"/>
    </xf>
    <xf numFmtId="0" fontId="6" fillId="6" borderId="17" xfId="0" applyFont="1" applyFill="1" applyBorder="1" applyAlignment="1" applyProtection="1">
      <alignment horizontal="center" vertical="center"/>
      <protection locked="0"/>
    </xf>
    <xf numFmtId="49" fontId="6" fillId="6" borderId="18" xfId="0" applyNumberFormat="1" applyFont="1" applyFill="1" applyBorder="1" applyAlignment="1" applyProtection="1">
      <alignment horizontal="center" vertical="center"/>
      <protection locked="0"/>
    </xf>
    <xf numFmtId="49" fontId="6" fillId="6" borderId="20" xfId="0" applyNumberFormat="1" applyFont="1" applyFill="1" applyBorder="1" applyAlignment="1" applyProtection="1">
      <alignment horizontal="center" vertical="center"/>
      <protection locked="0"/>
    </xf>
    <xf numFmtId="0" fontId="6" fillId="6" borderId="18" xfId="0" applyFont="1" applyFill="1" applyBorder="1" applyAlignment="1" applyProtection="1">
      <alignment horizontal="center" vertical="center"/>
      <protection locked="0"/>
    </xf>
    <xf numFmtId="0" fontId="6" fillId="6" borderId="22" xfId="0" applyFont="1" applyFill="1" applyBorder="1" applyAlignment="1" applyProtection="1">
      <alignment horizontal="center"/>
      <protection locked="0"/>
    </xf>
    <xf numFmtId="0" fontId="6" fillId="6" borderId="5" xfId="0" applyFont="1" applyFill="1" applyBorder="1" applyAlignment="1" applyProtection="1">
      <alignment horizontal="center"/>
      <protection locked="0"/>
    </xf>
    <xf numFmtId="49" fontId="6" fillId="6" borderId="17" xfId="0" applyNumberFormat="1" applyFont="1" applyFill="1" applyBorder="1" applyAlignment="1" applyProtection="1">
      <alignment horizontal="center"/>
      <protection locked="0"/>
    </xf>
    <xf numFmtId="49" fontId="6" fillId="6" borderId="19" xfId="0" applyNumberFormat="1" applyFont="1" applyFill="1" applyBorder="1" applyAlignment="1" applyProtection="1">
      <alignment horizontal="center"/>
      <protection locked="0"/>
    </xf>
    <xf numFmtId="0" fontId="6" fillId="6" borderId="17" xfId="0" applyFont="1" applyFill="1" applyBorder="1" applyAlignment="1" applyProtection="1">
      <alignment horizontal="center"/>
      <protection locked="0"/>
    </xf>
    <xf numFmtId="49" fontId="6" fillId="6" borderId="18" xfId="0" applyNumberFormat="1" applyFont="1" applyFill="1" applyBorder="1" applyAlignment="1" applyProtection="1">
      <alignment horizontal="center"/>
      <protection locked="0"/>
    </xf>
    <xf numFmtId="49" fontId="6" fillId="6" borderId="20" xfId="0" applyNumberFormat="1" applyFont="1" applyFill="1" applyBorder="1" applyAlignment="1" applyProtection="1">
      <alignment horizontal="center"/>
      <protection locked="0"/>
    </xf>
    <xf numFmtId="0" fontId="6" fillId="6" borderId="18" xfId="0" applyFont="1" applyFill="1" applyBorder="1" applyAlignment="1" applyProtection="1">
      <alignment horizontal="center"/>
      <protection locked="0"/>
    </xf>
    <xf numFmtId="49" fontId="6" fillId="6" borderId="21" xfId="0" applyNumberFormat="1" applyFont="1" applyFill="1" applyBorder="1" applyAlignment="1" applyProtection="1">
      <alignment horizontal="center"/>
      <protection locked="0"/>
    </xf>
    <xf numFmtId="0" fontId="6" fillId="7" borderId="5" xfId="0" applyNumberFormat="1" applyFont="1" applyFill="1" applyBorder="1" applyAlignment="1" applyProtection="1">
      <alignment horizontal="right" vertical="center"/>
      <protection locked="0"/>
    </xf>
    <xf numFmtId="172" fontId="6" fillId="7" borderId="5" xfId="0" applyNumberFormat="1" applyFont="1" applyFill="1" applyBorder="1" applyAlignment="1" applyProtection="1">
      <alignment horizontal="right" vertical="center"/>
      <protection locked="0"/>
    </xf>
    <xf numFmtId="0" fontId="6" fillId="7" borderId="1" xfId="0" applyNumberFormat="1" applyFont="1" applyFill="1" applyBorder="1" applyAlignment="1" applyProtection="1">
      <alignment horizontal="right" vertical="center"/>
      <protection locked="0"/>
    </xf>
    <xf numFmtId="172" fontId="6" fillId="7" borderId="1" xfId="0" applyNumberFormat="1" applyFont="1" applyFill="1" applyBorder="1" applyAlignment="1" applyProtection="1">
      <alignment horizontal="right" vertical="center"/>
      <protection locked="0"/>
    </xf>
    <xf numFmtId="0" fontId="6" fillId="7" borderId="6" xfId="0" applyNumberFormat="1" applyFont="1" applyFill="1" applyBorder="1" applyAlignment="1" applyProtection="1">
      <alignment horizontal="right" vertical="center"/>
      <protection locked="0"/>
    </xf>
    <xf numFmtId="172" fontId="6" fillId="7" borderId="6" xfId="0" applyNumberFormat="1" applyFont="1" applyFill="1" applyBorder="1" applyAlignment="1" applyProtection="1">
      <alignment horizontal="right" vertical="center"/>
      <protection locked="0"/>
    </xf>
    <xf numFmtId="49" fontId="6" fillId="6" borderId="1" xfId="0" applyNumberFormat="1" applyFont="1" applyFill="1" applyBorder="1" applyAlignment="1" applyProtection="1">
      <alignment horizontal="center"/>
      <protection locked="0"/>
    </xf>
    <xf numFmtId="49" fontId="6" fillId="6" borderId="6" xfId="0" applyNumberFormat="1" applyFont="1" applyFill="1" applyBorder="1" applyAlignment="1" applyProtection="1">
      <alignment horizontal="center"/>
      <protection locked="0"/>
    </xf>
    <xf numFmtId="49" fontId="6" fillId="6" borderId="5" xfId="0" applyNumberFormat="1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49" fontId="0" fillId="2" borderId="1" xfId="0" applyNumberFormat="1" applyFill="1" applyBorder="1" applyAlignment="1">
      <alignment horizontal="center" vertical="center"/>
    </xf>
    <xf numFmtId="1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7" xfId="0" applyFill="1" applyBorder="1" applyProtection="1">
      <protection locked="0"/>
    </xf>
    <xf numFmtId="0" fontId="6" fillId="6" borderId="28" xfId="0" applyFont="1" applyFill="1" applyBorder="1" applyAlignment="1" applyProtection="1">
      <alignment horizontal="center" vertical="center"/>
      <protection locked="0"/>
    </xf>
    <xf numFmtId="0" fontId="0" fillId="6" borderId="29" xfId="0" applyFill="1" applyBorder="1" applyProtection="1">
      <protection locked="0"/>
    </xf>
    <xf numFmtId="49" fontId="0" fillId="2" borderId="0" xfId="0" applyNumberFormat="1" applyFill="1" applyBorder="1" applyProtection="1"/>
    <xf numFmtId="0" fontId="0" fillId="2" borderId="0" xfId="0" applyFill="1" applyBorder="1" applyProtection="1"/>
    <xf numFmtId="0" fontId="0" fillId="2" borderId="0" xfId="0" applyFill="1" applyProtection="1"/>
    <xf numFmtId="0" fontId="10" fillId="2" borderId="0" xfId="0" applyFont="1" applyFill="1" applyAlignment="1" applyProtection="1">
      <alignment horizontal="center"/>
    </xf>
    <xf numFmtId="0" fontId="0" fillId="2" borderId="32" xfId="0" applyFill="1" applyBorder="1" applyProtection="1"/>
    <xf numFmtId="0" fontId="0" fillId="2" borderId="33" xfId="0" applyFill="1" applyBorder="1" applyAlignment="1" applyProtection="1">
      <alignment horizontal="right"/>
    </xf>
    <xf numFmtId="0" fontId="0" fillId="8" borderId="34" xfId="0" applyFill="1" applyBorder="1" applyAlignment="1" applyProtection="1">
      <alignment horizontal="left"/>
    </xf>
    <xf numFmtId="0" fontId="0" fillId="7" borderId="34" xfId="0" applyFill="1" applyBorder="1" applyAlignment="1" applyProtection="1">
      <alignment horizontal="left"/>
    </xf>
    <xf numFmtId="0" fontId="0" fillId="3" borderId="34" xfId="0" applyFill="1" applyBorder="1" applyAlignment="1" applyProtection="1">
      <alignment horizontal="left"/>
    </xf>
    <xf numFmtId="0" fontId="0" fillId="2" borderId="32" xfId="0" applyFill="1" applyBorder="1" applyAlignment="1" applyProtection="1">
      <alignment horizontal="right"/>
    </xf>
    <xf numFmtId="0" fontId="0" fillId="2" borderId="35" xfId="0" applyFill="1" applyBorder="1" applyAlignment="1" applyProtection="1">
      <alignment horizontal="left"/>
    </xf>
    <xf numFmtId="0" fontId="0" fillId="2" borderId="35" xfId="0" applyFill="1" applyBorder="1" applyProtection="1"/>
    <xf numFmtId="0" fontId="0" fillId="8" borderId="35" xfId="0" applyFill="1" applyBorder="1" applyAlignment="1" applyProtection="1">
      <alignment horizontal="left"/>
    </xf>
    <xf numFmtId="0" fontId="0" fillId="7" borderId="35" xfId="0" applyFill="1" applyBorder="1" applyAlignment="1" applyProtection="1">
      <alignment horizontal="left"/>
    </xf>
    <xf numFmtId="0" fontId="0" fillId="3" borderId="35" xfId="0" applyFill="1" applyBorder="1" applyAlignment="1" applyProtection="1">
      <alignment horizontal="left"/>
    </xf>
    <xf numFmtId="0" fontId="0" fillId="2" borderId="36" xfId="0" applyFill="1" applyBorder="1" applyAlignment="1" applyProtection="1">
      <alignment horizontal="right"/>
    </xf>
    <xf numFmtId="165" fontId="0" fillId="2" borderId="37" xfId="0" applyNumberFormat="1" applyFill="1" applyBorder="1" applyAlignment="1" applyProtection="1">
      <alignment horizontal="left"/>
    </xf>
    <xf numFmtId="0" fontId="0" fillId="0" borderId="0" xfId="0" applyProtection="1"/>
    <xf numFmtId="0" fontId="6" fillId="0" borderId="30" xfId="0" applyFont="1" applyFill="1" applyBorder="1" applyAlignment="1" applyProtection="1">
      <alignment horizontal="center" wrapText="1"/>
    </xf>
    <xf numFmtId="0" fontId="0" fillId="8" borderId="30" xfId="0" applyFill="1" applyBorder="1" applyProtection="1"/>
    <xf numFmtId="0" fontId="0" fillId="8" borderId="38" xfId="0" applyFill="1" applyBorder="1" applyAlignment="1" applyProtection="1">
      <alignment horizontal="center"/>
    </xf>
    <xf numFmtId="0" fontId="0" fillId="8" borderId="39" xfId="0" applyFill="1" applyBorder="1" applyAlignment="1" applyProtection="1">
      <alignment horizontal="center"/>
    </xf>
    <xf numFmtId="0" fontId="3" fillId="7" borderId="39" xfId="0" applyFont="1" applyFill="1" applyBorder="1" applyAlignment="1" applyProtection="1">
      <alignment horizontal="center"/>
    </xf>
    <xf numFmtId="0" fontId="3" fillId="3" borderId="39" xfId="0" applyFont="1" applyFill="1" applyBorder="1" applyAlignment="1" applyProtection="1">
      <alignment horizontal="center"/>
    </xf>
    <xf numFmtId="0" fontId="6" fillId="0" borderId="29" xfId="0" applyFont="1" applyFill="1" applyBorder="1" applyAlignment="1" applyProtection="1">
      <alignment horizontal="center" wrapText="1"/>
    </xf>
    <xf numFmtId="0" fontId="0" fillId="8" borderId="40" xfId="0" applyFill="1" applyBorder="1" applyAlignment="1" applyProtection="1">
      <alignment horizontal="center" vertical="center" wrapText="1"/>
    </xf>
    <xf numFmtId="0" fontId="0" fillId="8" borderId="41" xfId="0" applyFill="1" applyBorder="1" applyAlignment="1" applyProtection="1">
      <alignment horizontal="center" vertical="center" wrapText="1"/>
    </xf>
    <xf numFmtId="0" fontId="0" fillId="8" borderId="40" xfId="0" applyFill="1" applyBorder="1" applyAlignment="1" applyProtection="1">
      <alignment horizontal="center" vertical="center"/>
    </xf>
    <xf numFmtId="0" fontId="0" fillId="7" borderId="40" xfId="0" applyFill="1" applyBorder="1" applyAlignment="1" applyProtection="1">
      <alignment horizontal="center" vertical="center" wrapText="1"/>
    </xf>
    <xf numFmtId="0" fontId="0" fillId="3" borderId="40" xfId="0" applyFill="1" applyBorder="1" applyAlignment="1" applyProtection="1">
      <alignment horizontal="center" vertical="center" wrapText="1"/>
    </xf>
    <xf numFmtId="49" fontId="0" fillId="2" borderId="42" xfId="0" applyNumberFormat="1" applyFill="1" applyBorder="1" applyAlignment="1" applyProtection="1">
      <alignment horizontal="center" vertical="center"/>
    </xf>
    <xf numFmtId="49" fontId="0" fillId="9" borderId="42" xfId="0" applyNumberFormat="1" applyFill="1" applyBorder="1" applyAlignment="1" applyProtection="1">
      <alignment horizontal="center" vertical="center"/>
    </xf>
    <xf numFmtId="167" fontId="0" fillId="8" borderId="42" xfId="0" applyNumberFormat="1" applyFill="1" applyBorder="1" applyAlignment="1" applyProtection="1">
      <alignment horizontal="center"/>
    </xf>
    <xf numFmtId="167" fontId="0" fillId="8" borderId="13" xfId="0" applyNumberFormat="1" applyFill="1" applyBorder="1" applyAlignment="1" applyProtection="1">
      <alignment horizontal="center"/>
    </xf>
    <xf numFmtId="167" fontId="0" fillId="7" borderId="42" xfId="0" applyNumberFormat="1" applyFill="1" applyBorder="1" applyAlignment="1" applyProtection="1">
      <alignment horizontal="center"/>
    </xf>
    <xf numFmtId="167" fontId="0" fillId="3" borderId="42" xfId="0" applyNumberFormat="1" applyFill="1" applyBorder="1" applyAlignment="1" applyProtection="1">
      <alignment horizontal="center"/>
    </xf>
    <xf numFmtId="49" fontId="0" fillId="2" borderId="43" xfId="0" applyNumberFormat="1" applyFill="1" applyBorder="1" applyAlignment="1" applyProtection="1">
      <alignment horizontal="center"/>
    </xf>
    <xf numFmtId="49" fontId="0" fillId="9" borderId="43" xfId="0" applyNumberFormat="1" applyFill="1" applyBorder="1" applyAlignment="1" applyProtection="1">
      <alignment horizontal="center"/>
    </xf>
    <xf numFmtId="167" fontId="0" fillId="8" borderId="43" xfId="0" applyNumberFormat="1" applyFill="1" applyBorder="1" applyAlignment="1" applyProtection="1">
      <alignment horizontal="center"/>
    </xf>
    <xf numFmtId="167" fontId="0" fillId="8" borderId="3" xfId="0" applyNumberFormat="1" applyFill="1" applyBorder="1" applyAlignment="1" applyProtection="1">
      <alignment horizontal="center"/>
    </xf>
    <xf numFmtId="167" fontId="0" fillId="7" borderId="43" xfId="0" applyNumberFormat="1" applyFill="1" applyBorder="1" applyAlignment="1" applyProtection="1">
      <alignment horizontal="center"/>
    </xf>
    <xf numFmtId="49" fontId="0" fillId="2" borderId="40" xfId="0" applyNumberFormat="1" applyFill="1" applyBorder="1" applyAlignment="1" applyProtection="1">
      <alignment horizontal="center"/>
    </xf>
    <xf numFmtId="49" fontId="0" fillId="9" borderId="40" xfId="0" applyNumberFormat="1" applyFill="1" applyBorder="1" applyAlignment="1" applyProtection="1">
      <alignment horizontal="center"/>
    </xf>
    <xf numFmtId="167" fontId="0" fillId="8" borderId="40" xfId="0" applyNumberFormat="1" applyFill="1" applyBorder="1" applyAlignment="1" applyProtection="1">
      <alignment horizontal="center"/>
    </xf>
    <xf numFmtId="167" fontId="0" fillId="8" borderId="41" xfId="0" applyNumberFormat="1" applyFill="1" applyBorder="1" applyAlignment="1" applyProtection="1">
      <alignment horizontal="center"/>
    </xf>
    <xf numFmtId="167" fontId="0" fillId="7" borderId="40" xfId="0" applyNumberFormat="1" applyFill="1" applyBorder="1" applyAlignment="1" applyProtection="1">
      <alignment horizontal="center"/>
    </xf>
    <xf numFmtId="167" fontId="0" fillId="3" borderId="40" xfId="0" applyNumberForma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0" fillId="10" borderId="0" xfId="0" applyFill="1"/>
    <xf numFmtId="167" fontId="0" fillId="0" borderId="1" xfId="0" applyNumberFormat="1" applyBorder="1"/>
    <xf numFmtId="0" fontId="2" fillId="0" borderId="44" xfId="0" applyFont="1" applyFill="1" applyBorder="1"/>
    <xf numFmtId="0" fontId="2" fillId="0" borderId="45" xfId="0" applyFont="1" applyFill="1" applyBorder="1"/>
    <xf numFmtId="0" fontId="2" fillId="3" borderId="45" xfId="0" applyFont="1" applyFill="1" applyBorder="1"/>
    <xf numFmtId="0" fontId="2" fillId="0" borderId="46" xfId="0" applyFont="1" applyFill="1" applyBorder="1"/>
    <xf numFmtId="0" fontId="0" fillId="0" borderId="44" xfId="0" applyBorder="1" applyAlignment="1">
      <alignment horizontal="center"/>
    </xf>
    <xf numFmtId="49" fontId="0" fillId="6" borderId="44" xfId="0" applyNumberFormat="1" applyFill="1" applyBorder="1"/>
    <xf numFmtId="165" fontId="0" fillId="3" borderId="44" xfId="0" applyNumberFormat="1" applyFill="1" applyBorder="1"/>
    <xf numFmtId="1" fontId="0" fillId="0" borderId="44" xfId="0" applyNumberFormat="1" applyBorder="1"/>
    <xf numFmtId="167" fontId="0" fillId="0" borderId="44" xfId="0" applyNumberFormat="1" applyBorder="1"/>
    <xf numFmtId="167" fontId="0" fillId="0" borderId="47" xfId="0" applyNumberFormat="1" applyBorder="1"/>
    <xf numFmtId="0" fontId="0" fillId="0" borderId="1" xfId="0" applyBorder="1" applyAlignment="1">
      <alignment horizontal="center"/>
    </xf>
    <xf numFmtId="49" fontId="0" fillId="6" borderId="1" xfId="0" applyNumberFormat="1" applyFill="1" applyBorder="1"/>
    <xf numFmtId="165" fontId="0" fillId="3" borderId="1" xfId="0" applyNumberFormat="1" applyFill="1" applyBorder="1"/>
    <xf numFmtId="1" fontId="0" fillId="0" borderId="1" xfId="0" applyNumberFormat="1" applyBorder="1"/>
    <xf numFmtId="167" fontId="0" fillId="0" borderId="48" xfId="0" applyNumberFormat="1" applyBorder="1"/>
    <xf numFmtId="0" fontId="0" fillId="0" borderId="45" xfId="0" applyBorder="1" applyAlignment="1">
      <alignment horizontal="center"/>
    </xf>
    <xf numFmtId="49" fontId="0" fillId="6" borderId="45" xfId="0" applyNumberFormat="1" applyFill="1" applyBorder="1"/>
    <xf numFmtId="165" fontId="0" fillId="3" borderId="45" xfId="0" applyNumberFormat="1" applyFill="1" applyBorder="1"/>
    <xf numFmtId="1" fontId="0" fillId="0" borderId="45" xfId="0" applyNumberFormat="1" applyBorder="1"/>
    <xf numFmtId="167" fontId="0" fillId="0" borderId="45" xfId="0" applyNumberFormat="1" applyBorder="1"/>
    <xf numFmtId="167" fontId="0" fillId="0" borderId="46" xfId="0" applyNumberFormat="1" applyBorder="1"/>
    <xf numFmtId="0" fontId="0" fillId="0" borderId="0" xfId="0" applyBorder="1" applyProtection="1"/>
    <xf numFmtId="0" fontId="0" fillId="2" borderId="0" xfId="0" applyFill="1" applyAlignment="1" applyProtection="1">
      <alignment horizontal="right"/>
    </xf>
    <xf numFmtId="0" fontId="0" fillId="2" borderId="16" xfId="0" applyFill="1" applyBorder="1" applyProtection="1"/>
    <xf numFmtId="0" fontId="3" fillId="2" borderId="29" xfId="0" applyFont="1" applyFill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2" fontId="3" fillId="2" borderId="29" xfId="0" applyNumberFormat="1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 vertical="center" wrapText="1"/>
    </xf>
    <xf numFmtId="0" fontId="0" fillId="11" borderId="30" xfId="0" applyFill="1" applyBorder="1" applyProtection="1"/>
    <xf numFmtId="0" fontId="5" fillId="2" borderId="4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165" fontId="0" fillId="0" borderId="0" xfId="0" applyNumberFormat="1" applyFill="1" applyProtection="1"/>
    <xf numFmtId="169" fontId="0" fillId="0" borderId="0" xfId="0" applyNumberFormat="1" applyFill="1" applyProtection="1"/>
    <xf numFmtId="2" fontId="0" fillId="0" borderId="0" xfId="0" applyNumberFormat="1" applyFill="1" applyProtection="1"/>
    <xf numFmtId="0" fontId="0" fillId="3" borderId="14" xfId="0" applyFill="1" applyBorder="1" applyAlignment="1" applyProtection="1">
      <alignment horizontal="center"/>
      <protection locked="0"/>
    </xf>
    <xf numFmtId="49" fontId="0" fillId="3" borderId="27" xfId="0" applyNumberFormat="1" applyFill="1" applyBorder="1" applyAlignment="1" applyProtection="1">
      <alignment horizontal="center"/>
      <protection locked="0"/>
    </xf>
    <xf numFmtId="0" fontId="0" fillId="3" borderId="27" xfId="0" applyFill="1" applyBorder="1" applyAlignment="1" applyProtection="1">
      <alignment horizontal="center"/>
      <protection locked="0"/>
    </xf>
    <xf numFmtId="39" fontId="1" fillId="2" borderId="14" xfId="2" applyNumberFormat="1" applyFill="1" applyBorder="1" applyAlignment="1" applyProtection="1">
      <alignment horizontal="center"/>
    </xf>
    <xf numFmtId="171" fontId="1" fillId="2" borderId="30" xfId="1" applyNumberFormat="1" applyFill="1" applyBorder="1" applyAlignment="1" applyProtection="1">
      <alignment horizontal="center"/>
    </xf>
    <xf numFmtId="1" fontId="0" fillId="2" borderId="14" xfId="0" applyNumberForma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9" fontId="0" fillId="2" borderId="0" xfId="0" applyNumberFormat="1" applyFill="1" applyBorder="1" applyAlignment="1" applyProtection="1">
      <alignment horizontal="center"/>
    </xf>
    <xf numFmtId="1" fontId="0" fillId="2" borderId="0" xfId="0" applyNumberFormat="1" applyFill="1" applyBorder="1" applyAlignment="1" applyProtection="1">
      <alignment horizontal="center"/>
    </xf>
    <xf numFmtId="2" fontId="0" fillId="2" borderId="0" xfId="0" applyNumberFormat="1" applyFill="1" applyBorder="1" applyAlignment="1" applyProtection="1">
      <alignment horizontal="center"/>
    </xf>
    <xf numFmtId="0" fontId="19" fillId="2" borderId="0" xfId="0" applyFont="1" applyFill="1" applyBorder="1" applyAlignment="1">
      <alignment horizontal="center"/>
    </xf>
    <xf numFmtId="0" fontId="2" fillId="2" borderId="49" xfId="0" applyFont="1" applyFill="1" applyBorder="1" applyAlignment="1" applyProtection="1">
      <alignment horizontal="right"/>
    </xf>
    <xf numFmtId="0" fontId="2" fillId="2" borderId="50" xfId="0" applyFont="1" applyFill="1" applyBorder="1" applyAlignment="1" applyProtection="1">
      <alignment horizontal="right"/>
    </xf>
    <xf numFmtId="0" fontId="2" fillId="2" borderId="49" xfId="0" applyFont="1" applyFill="1" applyBorder="1" applyAlignment="1" applyProtection="1">
      <alignment horizontal="center"/>
    </xf>
    <xf numFmtId="14" fontId="3" fillId="7" borderId="41" xfId="0" applyNumberFormat="1" applyFont="1" applyFill="1" applyBorder="1" applyProtection="1">
      <protection locked="0"/>
    </xf>
    <xf numFmtId="0" fontId="3" fillId="7" borderId="41" xfId="0" applyFont="1" applyFill="1" applyBorder="1" applyAlignment="1" applyProtection="1">
      <alignment horizontal="center"/>
      <protection locked="0"/>
    </xf>
    <xf numFmtId="14" fontId="3" fillId="6" borderId="41" xfId="0" applyNumberFormat="1" applyFont="1" applyFill="1" applyBorder="1" applyProtection="1">
      <protection locked="0"/>
    </xf>
    <xf numFmtId="0" fontId="3" fillId="6" borderId="41" xfId="0" applyFont="1" applyFill="1" applyBorder="1" applyAlignment="1" applyProtection="1">
      <alignment horizontal="center"/>
      <protection locked="0"/>
    </xf>
    <xf numFmtId="0" fontId="6" fillId="6" borderId="53" xfId="0" applyFont="1" applyFill="1" applyBorder="1" applyAlignment="1" applyProtection="1">
      <alignment horizontal="center" vertical="center"/>
      <protection locked="0"/>
    </xf>
    <xf numFmtId="2" fontId="6" fillId="2" borderId="53" xfId="0" quotePrefix="1" applyNumberFormat="1" applyFont="1" applyFill="1" applyBorder="1" applyAlignment="1" applyProtection="1">
      <alignment horizontal="center" vertical="center"/>
    </xf>
    <xf numFmtId="0" fontId="0" fillId="0" borderId="53" xfId="0" applyBorder="1" applyProtection="1"/>
    <xf numFmtId="49" fontId="6" fillId="3" borderId="53" xfId="0" applyNumberFormat="1" applyFont="1" applyFill="1" applyBorder="1" applyAlignment="1" applyProtection="1">
      <alignment horizontal="center" vertical="center"/>
      <protection locked="0"/>
    </xf>
    <xf numFmtId="0" fontId="0" fillId="0" borderId="53" xfId="0" quotePrefix="1" applyBorder="1" applyAlignment="1" applyProtection="1">
      <alignment horizontal="center"/>
    </xf>
    <xf numFmtId="0" fontId="0" fillId="10" borderId="53" xfId="0" applyFill="1" applyBorder="1" applyAlignment="1" applyProtection="1">
      <alignment horizontal="center"/>
    </xf>
    <xf numFmtId="0" fontId="0" fillId="0" borderId="53" xfId="0" quotePrefix="1" applyFill="1" applyBorder="1" applyAlignment="1" applyProtection="1">
      <alignment horizontal="center"/>
    </xf>
    <xf numFmtId="0" fontId="0" fillId="6" borderId="53" xfId="0" quotePrefix="1" applyFill="1" applyBorder="1" applyAlignment="1" applyProtection="1">
      <alignment horizontal="center"/>
    </xf>
    <xf numFmtId="0" fontId="0" fillId="0" borderId="54" xfId="0" quotePrefix="1" applyBorder="1" applyAlignment="1" applyProtection="1">
      <alignment horizontal="center"/>
    </xf>
    <xf numFmtId="49" fontId="6" fillId="3" borderId="56" xfId="0" applyNumberFormat="1" applyFont="1" applyFill="1" applyBorder="1" applyAlignment="1" applyProtection="1">
      <alignment horizontal="center" vertical="center"/>
      <protection locked="0"/>
    </xf>
    <xf numFmtId="0" fontId="6" fillId="6" borderId="56" xfId="0" applyFont="1" applyFill="1" applyBorder="1" applyAlignment="1" applyProtection="1">
      <alignment horizontal="center" vertical="center"/>
      <protection locked="0"/>
    </xf>
    <xf numFmtId="2" fontId="6" fillId="2" borderId="56" xfId="0" applyNumberFormat="1" applyFont="1" applyFill="1" applyBorder="1" applyAlignment="1" applyProtection="1">
      <alignment horizontal="center" vertical="center"/>
    </xf>
    <xf numFmtId="0" fontId="0" fillId="0" borderId="56" xfId="0" applyBorder="1" applyProtection="1"/>
    <xf numFmtId="165" fontId="0" fillId="0" borderId="56" xfId="0" applyNumberFormat="1" applyFill="1" applyBorder="1" applyProtection="1"/>
    <xf numFmtId="165" fontId="0" fillId="0" borderId="56" xfId="0" applyNumberFormat="1" applyBorder="1" applyProtection="1"/>
    <xf numFmtId="0" fontId="0" fillId="6" borderId="56" xfId="0" applyFill="1" applyBorder="1" applyProtection="1"/>
    <xf numFmtId="10" fontId="1" fillId="0" borderId="56" xfId="1" applyNumberFormat="1" applyBorder="1" applyProtection="1"/>
    <xf numFmtId="0" fontId="3" fillId="6" borderId="56" xfId="0" applyFont="1" applyFill="1" applyBorder="1" applyProtection="1"/>
    <xf numFmtId="169" fontId="0" fillId="6" borderId="56" xfId="0" applyNumberFormat="1" applyFill="1" applyBorder="1" applyProtection="1"/>
    <xf numFmtId="2" fontId="0" fillId="0" borderId="57" xfId="0" applyNumberFormat="1" applyBorder="1" applyProtection="1"/>
    <xf numFmtId="167" fontId="0" fillId="0" borderId="56" xfId="0" applyNumberFormat="1" applyBorder="1" applyProtection="1"/>
    <xf numFmtId="49" fontId="6" fillId="3" borderId="59" xfId="0" applyNumberFormat="1" applyFont="1" applyFill="1" applyBorder="1" applyAlignment="1" applyProtection="1">
      <alignment horizontal="center" vertical="center"/>
      <protection locked="0"/>
    </xf>
    <xf numFmtId="0" fontId="6" fillId="6" borderId="59" xfId="0" applyFont="1" applyFill="1" applyBorder="1" applyAlignment="1" applyProtection="1">
      <alignment horizontal="center" vertical="center"/>
      <protection locked="0"/>
    </xf>
    <xf numFmtId="2" fontId="6" fillId="2" borderId="59" xfId="0" applyNumberFormat="1" applyFont="1" applyFill="1" applyBorder="1" applyAlignment="1" applyProtection="1">
      <alignment horizontal="center" vertical="center"/>
    </xf>
    <xf numFmtId="0" fontId="0" fillId="0" borderId="59" xfId="0" applyBorder="1" applyProtection="1"/>
    <xf numFmtId="167" fontId="0" fillId="0" borderId="59" xfId="0" applyNumberFormat="1" applyBorder="1" applyProtection="1"/>
    <xf numFmtId="165" fontId="0" fillId="0" borderId="59" xfId="0" applyNumberFormat="1" applyFill="1" applyBorder="1" applyProtection="1"/>
    <xf numFmtId="165" fontId="0" fillId="0" borderId="59" xfId="0" applyNumberFormat="1" applyBorder="1" applyProtection="1"/>
    <xf numFmtId="0" fontId="0" fillId="6" borderId="59" xfId="0" applyFill="1" applyBorder="1" applyProtection="1"/>
    <xf numFmtId="10" fontId="1" fillId="0" borderId="59" xfId="1" applyNumberFormat="1" applyBorder="1" applyProtection="1"/>
    <xf numFmtId="0" fontId="3" fillId="6" borderId="59" xfId="0" applyFont="1" applyFill="1" applyBorder="1" applyProtection="1"/>
    <xf numFmtId="169" fontId="0" fillId="6" borderId="59" xfId="0" applyNumberFormat="1" applyFill="1" applyBorder="1" applyProtection="1"/>
    <xf numFmtId="2" fontId="0" fillId="0" borderId="60" xfId="0" applyNumberFormat="1" applyBorder="1" applyProtection="1"/>
    <xf numFmtId="0" fontId="6" fillId="6" borderId="61" xfId="0" applyFont="1" applyFill="1" applyBorder="1" applyAlignment="1" applyProtection="1">
      <alignment horizontal="center" vertical="center"/>
      <protection locked="0"/>
    </xf>
    <xf numFmtId="2" fontId="6" fillId="2" borderId="61" xfId="0" applyNumberFormat="1" applyFont="1" applyFill="1" applyBorder="1" applyAlignment="1" applyProtection="1">
      <alignment horizontal="center" vertical="center"/>
    </xf>
    <xf numFmtId="0" fontId="0" fillId="0" borderId="61" xfId="0" applyBorder="1" applyProtection="1"/>
    <xf numFmtId="167" fontId="0" fillId="0" borderId="61" xfId="0" applyNumberFormat="1" applyBorder="1" applyProtection="1"/>
    <xf numFmtId="165" fontId="0" fillId="0" borderId="61" xfId="0" applyNumberFormat="1" applyFill="1" applyBorder="1" applyProtection="1"/>
    <xf numFmtId="165" fontId="0" fillId="0" borderId="61" xfId="0" applyNumberFormat="1" applyBorder="1" applyProtection="1"/>
    <xf numFmtId="0" fontId="0" fillId="6" borderId="61" xfId="0" applyFill="1" applyBorder="1" applyProtection="1"/>
    <xf numFmtId="10" fontId="1" fillId="0" borderId="61" xfId="1" applyNumberFormat="1" applyBorder="1" applyProtection="1"/>
    <xf numFmtId="0" fontId="3" fillId="6" borderId="61" xfId="0" applyFont="1" applyFill="1" applyBorder="1" applyProtection="1"/>
    <xf numFmtId="169" fontId="0" fillId="6" borderId="61" xfId="0" applyNumberFormat="1" applyFill="1" applyBorder="1" applyProtection="1"/>
    <xf numFmtId="2" fontId="0" fillId="0" borderId="62" xfId="0" applyNumberFormat="1" applyBorder="1" applyProtection="1"/>
    <xf numFmtId="2" fontId="6" fillId="2" borderId="53" xfId="0" applyNumberFormat="1" applyFont="1" applyFill="1" applyBorder="1" applyAlignment="1" applyProtection="1">
      <alignment horizontal="center" vertical="center"/>
    </xf>
    <xf numFmtId="167" fontId="0" fillId="0" borderId="53" xfId="0" applyNumberFormat="1" applyBorder="1" applyProtection="1"/>
    <xf numFmtId="165" fontId="0" fillId="0" borderId="53" xfId="0" applyNumberFormat="1" applyFill="1" applyBorder="1" applyProtection="1"/>
    <xf numFmtId="165" fontId="0" fillId="0" borderId="53" xfId="0" applyNumberFormat="1" applyBorder="1" applyProtection="1"/>
    <xf numFmtId="0" fontId="0" fillId="6" borderId="53" xfId="0" applyFill="1" applyBorder="1" applyProtection="1"/>
    <xf numFmtId="10" fontId="1" fillId="0" borderId="53" xfId="1" applyNumberFormat="1" applyBorder="1" applyProtection="1"/>
    <xf numFmtId="0" fontId="3" fillId="6" borderId="53" xfId="0" applyFont="1" applyFill="1" applyBorder="1" applyProtection="1"/>
    <xf numFmtId="169" fontId="0" fillId="6" borderId="53" xfId="0" applyNumberFormat="1" applyFill="1" applyBorder="1" applyProtection="1"/>
    <xf numFmtId="2" fontId="0" fillId="0" borderId="54" xfId="0" applyNumberFormat="1" applyBorder="1" applyProtection="1"/>
    <xf numFmtId="49" fontId="6" fillId="3" borderId="56" xfId="0" applyNumberFormat="1" applyFont="1" applyFill="1" applyBorder="1" applyAlignment="1" applyProtection="1">
      <alignment horizontal="center"/>
      <protection locked="0"/>
    </xf>
    <xf numFmtId="49" fontId="6" fillId="3" borderId="59" xfId="0" applyNumberFormat="1" applyFont="1" applyFill="1" applyBorder="1" applyAlignment="1" applyProtection="1">
      <alignment horizontal="center"/>
      <protection locked="0"/>
    </xf>
    <xf numFmtId="0" fontId="6" fillId="6" borderId="67" xfId="0" applyFont="1" applyFill="1" applyBorder="1" applyAlignment="1" applyProtection="1">
      <alignment horizontal="center" vertical="center"/>
      <protection locked="0"/>
    </xf>
    <xf numFmtId="49" fontId="6" fillId="3" borderId="61" xfId="0" applyNumberFormat="1" applyFont="1" applyFill="1" applyBorder="1" applyAlignment="1" applyProtection="1">
      <alignment horizontal="center"/>
      <protection locked="0"/>
    </xf>
    <xf numFmtId="0" fontId="20" fillId="2" borderId="0" xfId="0" applyFont="1" applyFill="1" applyBorder="1" applyAlignment="1"/>
    <xf numFmtId="0" fontId="0" fillId="3" borderId="29" xfId="0" applyFill="1" applyBorder="1" applyAlignment="1" applyProtection="1">
      <alignment horizontal="center"/>
      <protection locked="0"/>
    </xf>
    <xf numFmtId="39" fontId="1" fillId="2" borderId="29" xfId="2" applyNumberFormat="1" applyFill="1" applyBorder="1" applyAlignment="1" applyProtection="1">
      <alignment horizontal="center"/>
    </xf>
    <xf numFmtId="10" fontId="1" fillId="2" borderId="29" xfId="1" applyNumberFormat="1" applyFill="1" applyBorder="1" applyAlignment="1" applyProtection="1">
      <alignment horizontal="center"/>
    </xf>
    <xf numFmtId="0" fontId="0" fillId="2" borderId="81" xfId="0" applyFill="1" applyBorder="1" applyProtection="1"/>
    <xf numFmtId="0" fontId="10" fillId="2" borderId="0" xfId="0" applyFont="1" applyFill="1" applyBorder="1" applyAlignment="1" applyProtection="1">
      <alignment horizontal="center"/>
    </xf>
    <xf numFmtId="0" fontId="20" fillId="2" borderId="0" xfId="0" applyFont="1" applyFill="1" applyBorder="1" applyAlignment="1" applyProtection="1">
      <alignment horizontal="center"/>
    </xf>
    <xf numFmtId="170" fontId="0" fillId="2" borderId="30" xfId="1" applyNumberFormat="1" applyFont="1" applyFill="1" applyBorder="1" applyProtection="1"/>
    <xf numFmtId="169" fontId="0" fillId="2" borderId="14" xfId="0" applyNumberFormat="1" applyFill="1" applyBorder="1" applyProtection="1"/>
    <xf numFmtId="0" fontId="16" fillId="2" borderId="0" xfId="0" applyFont="1" applyFill="1" applyAlignment="1" applyProtection="1">
      <alignment horizontal="center"/>
    </xf>
    <xf numFmtId="169" fontId="0" fillId="2" borderId="29" xfId="0" applyNumberFormat="1" applyFill="1" applyBorder="1" applyProtection="1"/>
    <xf numFmtId="1" fontId="0" fillId="2" borderId="14" xfId="0" applyNumberFormat="1" applyFill="1" applyBorder="1" applyAlignment="1" applyProtection="1">
      <alignment horizontal="right"/>
    </xf>
    <xf numFmtId="0" fontId="0" fillId="6" borderId="1" xfId="0" applyFill="1" applyBorder="1" applyProtection="1"/>
    <xf numFmtId="164" fontId="0" fillId="2" borderId="14" xfId="2" applyFont="1" applyFill="1" applyBorder="1" applyProtection="1"/>
    <xf numFmtId="2" fontId="0" fillId="6" borderId="1" xfId="0" applyNumberFormat="1" applyFill="1" applyBorder="1" applyProtection="1"/>
    <xf numFmtId="164" fontId="0" fillId="2" borderId="0" xfId="2" applyFont="1" applyFill="1" applyProtection="1"/>
    <xf numFmtId="166" fontId="3" fillId="2" borderId="14" xfId="1" applyNumberFormat="1" applyFont="1" applyFill="1" applyBorder="1" applyProtection="1"/>
    <xf numFmtId="2" fontId="0" fillId="2" borderId="14" xfId="0" applyNumberFormat="1" applyFill="1" applyBorder="1" applyProtection="1"/>
    <xf numFmtId="0" fontId="6" fillId="2" borderId="3" xfId="0" applyFont="1" applyFill="1" applyBorder="1" applyAlignment="1" applyProtection="1">
      <alignment horizontal="center" vertical="center" wrapText="1"/>
    </xf>
    <xf numFmtId="0" fontId="0" fillId="5" borderId="2" xfId="0" applyFill="1" applyBorder="1" applyProtection="1"/>
    <xf numFmtId="0" fontId="6" fillId="2" borderId="4" xfId="0" applyFont="1" applyFill="1" applyBorder="1" applyAlignment="1" applyProtection="1">
      <alignment horizontal="center" vertical="center" wrapText="1"/>
    </xf>
    <xf numFmtId="0" fontId="0" fillId="6" borderId="0" xfId="0" applyFill="1" applyProtection="1"/>
    <xf numFmtId="49" fontId="0" fillId="6" borderId="10" xfId="0" applyNumberFormat="1" applyFill="1" applyBorder="1" applyProtection="1"/>
    <xf numFmtId="49" fontId="0" fillId="6" borderId="11" xfId="0" applyNumberFormat="1" applyFill="1" applyBorder="1" applyProtection="1"/>
    <xf numFmtId="49" fontId="0" fillId="6" borderId="4" xfId="0" applyNumberFormat="1" applyFill="1" applyBorder="1" applyAlignment="1" applyProtection="1">
      <alignment horizontal="center"/>
    </xf>
    <xf numFmtId="0" fontId="6" fillId="7" borderId="22" xfId="0" applyFont="1" applyFill="1" applyBorder="1" applyAlignment="1" applyProtection="1">
      <alignment horizontal="center" vertical="center"/>
    </xf>
    <xf numFmtId="0" fontId="6" fillId="6" borderId="5" xfId="0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 applyProtection="1">
      <alignment horizontal="center" vertical="center"/>
    </xf>
    <xf numFmtId="2" fontId="6" fillId="2" borderId="5" xfId="0" quotePrefix="1" applyNumberFormat="1" applyFont="1" applyFill="1" applyBorder="1" applyAlignment="1" applyProtection="1">
      <alignment horizontal="center" vertical="center"/>
    </xf>
    <xf numFmtId="49" fontId="6" fillId="7" borderId="5" xfId="0" applyNumberFormat="1" applyFont="1" applyFill="1" applyBorder="1" applyAlignment="1" applyProtection="1">
      <alignment horizontal="center" vertical="center"/>
    </xf>
    <xf numFmtId="167" fontId="6" fillId="2" borderId="5" xfId="0" quotePrefix="1" applyNumberFormat="1" applyFont="1" applyFill="1" applyBorder="1" applyAlignment="1" applyProtection="1">
      <alignment horizontal="center" vertical="center"/>
    </xf>
    <xf numFmtId="49" fontId="6" fillId="6" borderId="5" xfId="0" applyNumberFormat="1" applyFont="1" applyFill="1" applyBorder="1" applyAlignment="1" applyProtection="1">
      <alignment horizontal="center" vertical="center"/>
    </xf>
    <xf numFmtId="0" fontId="6" fillId="7" borderId="5" xfId="0" quotePrefix="1" applyFont="1" applyFill="1" applyBorder="1" applyAlignment="1" applyProtection="1">
      <alignment horizontal="center" vertical="center"/>
    </xf>
    <xf numFmtId="169" fontId="6" fillId="2" borderId="5" xfId="0" quotePrefix="1" applyNumberFormat="1" applyFont="1" applyFill="1" applyBorder="1" applyAlignment="1" applyProtection="1">
      <alignment horizontal="center" vertical="center"/>
    </xf>
    <xf numFmtId="169" fontId="6" fillId="2" borderId="21" xfId="0" quotePrefix="1" applyNumberFormat="1" applyFont="1" applyFill="1" applyBorder="1" applyAlignment="1" applyProtection="1">
      <alignment horizontal="center" vertical="center"/>
    </xf>
    <xf numFmtId="49" fontId="0" fillId="6" borderId="0" xfId="0" applyNumberFormat="1" applyFill="1" applyProtection="1"/>
    <xf numFmtId="0" fontId="6" fillId="6" borderId="7" xfId="0" applyFont="1" applyFill="1" applyBorder="1" applyAlignment="1" applyProtection="1">
      <alignment horizontal="center" vertical="center"/>
    </xf>
    <xf numFmtId="0" fontId="0" fillId="6" borderId="8" xfId="0" applyFill="1" applyBorder="1" applyProtection="1"/>
    <xf numFmtId="49" fontId="0" fillId="6" borderId="7" xfId="0" applyNumberFormat="1" applyFill="1" applyBorder="1" applyProtection="1"/>
    <xf numFmtId="49" fontId="0" fillId="6" borderId="8" xfId="0" applyNumberFormat="1" applyFill="1" applyBorder="1" applyProtection="1"/>
    <xf numFmtId="49" fontId="0" fillId="6" borderId="0" xfId="0" applyNumberFormat="1" applyFill="1" applyBorder="1" applyAlignment="1" applyProtection="1">
      <alignment horizontal="center"/>
    </xf>
    <xf numFmtId="49" fontId="6" fillId="2" borderId="17" xfId="0" applyNumberFormat="1" applyFont="1" applyFill="1" applyBorder="1" applyAlignment="1" applyProtection="1">
      <alignment horizontal="center" vertical="center"/>
    </xf>
    <xf numFmtId="0" fontId="6" fillId="7" borderId="1" xfId="0" applyFont="1" applyFill="1" applyBorder="1" applyAlignment="1" applyProtection="1">
      <alignment horizontal="center" vertical="center"/>
    </xf>
    <xf numFmtId="2" fontId="6" fillId="2" borderId="1" xfId="0" applyNumberFormat="1" applyFont="1" applyFill="1" applyBorder="1" applyAlignment="1" applyProtection="1">
      <alignment horizontal="center" vertical="center"/>
    </xf>
    <xf numFmtId="167" fontId="6" fillId="2" borderId="1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169" fontId="6" fillId="2" borderId="1" xfId="0" applyNumberFormat="1" applyFont="1" applyFill="1" applyBorder="1" applyAlignment="1" applyProtection="1">
      <alignment horizontal="right" vertical="center"/>
    </xf>
    <xf numFmtId="2" fontId="6" fillId="2" borderId="1" xfId="0" applyNumberFormat="1" applyFont="1" applyFill="1" applyBorder="1" applyAlignment="1" applyProtection="1">
      <alignment horizontal="right" vertical="center"/>
    </xf>
    <xf numFmtId="164" fontId="6" fillId="2" borderId="19" xfId="2" applyFont="1" applyFill="1" applyBorder="1" applyAlignment="1" applyProtection="1">
      <alignment horizontal="right" vertical="center"/>
    </xf>
    <xf numFmtId="49" fontId="0" fillId="6" borderId="0" xfId="0" applyNumberFormat="1" applyFill="1" applyBorder="1" applyProtection="1"/>
    <xf numFmtId="2" fontId="6" fillId="2" borderId="25" xfId="0" applyNumberFormat="1" applyFont="1" applyFill="1" applyBorder="1" applyAlignment="1" applyProtection="1">
      <alignment horizontal="center" vertical="center"/>
    </xf>
    <xf numFmtId="167" fontId="6" fillId="2" borderId="25" xfId="0" applyNumberFormat="1" applyFont="1" applyFill="1" applyBorder="1" applyAlignment="1" applyProtection="1">
      <alignment horizontal="center" vertical="center"/>
    </xf>
    <xf numFmtId="49" fontId="6" fillId="6" borderId="25" xfId="0" applyNumberFormat="1" applyFont="1" applyFill="1" applyBorder="1" applyAlignment="1" applyProtection="1">
      <alignment horizontal="center" vertical="center"/>
    </xf>
    <xf numFmtId="169" fontId="6" fillId="2" borderId="25" xfId="0" applyNumberFormat="1" applyFont="1" applyFill="1" applyBorder="1" applyAlignment="1" applyProtection="1">
      <alignment horizontal="right" vertical="center"/>
    </xf>
    <xf numFmtId="2" fontId="6" fillId="2" borderId="25" xfId="0" applyNumberFormat="1" applyFont="1" applyFill="1" applyBorder="1" applyAlignment="1" applyProtection="1">
      <alignment horizontal="right" vertical="center"/>
    </xf>
    <xf numFmtId="164" fontId="6" fillId="2" borderId="24" xfId="2" applyFont="1" applyFill="1" applyBorder="1" applyAlignment="1" applyProtection="1">
      <alignment horizontal="right" vertical="center"/>
    </xf>
    <xf numFmtId="49" fontId="6" fillId="2" borderId="22" xfId="0" applyNumberFormat="1" applyFont="1" applyFill="1" applyBorder="1" applyAlignment="1" applyProtection="1">
      <alignment horizontal="center" vertical="center"/>
    </xf>
    <xf numFmtId="2" fontId="6" fillId="2" borderId="5" xfId="0" applyNumberFormat="1" applyFont="1" applyFill="1" applyBorder="1" applyAlignment="1" applyProtection="1">
      <alignment horizontal="center" vertical="center"/>
    </xf>
    <xf numFmtId="167" fontId="6" fillId="2" borderId="5" xfId="0" applyNumberFormat="1" applyFont="1" applyFill="1" applyBorder="1" applyAlignment="1" applyProtection="1">
      <alignment horizontal="center" vertical="center"/>
    </xf>
    <xf numFmtId="169" fontId="6" fillId="2" borderId="5" xfId="0" applyNumberFormat="1" applyFont="1" applyFill="1" applyBorder="1" applyAlignment="1" applyProtection="1">
      <alignment horizontal="right" vertical="center"/>
    </xf>
    <xf numFmtId="2" fontId="6" fillId="2" borderId="5" xfId="0" applyNumberFormat="1" applyFont="1" applyFill="1" applyBorder="1" applyAlignment="1" applyProtection="1">
      <alignment horizontal="right" vertical="center"/>
    </xf>
    <xf numFmtId="164" fontId="6" fillId="2" borderId="21" xfId="2" applyFont="1" applyFill="1" applyBorder="1" applyAlignment="1" applyProtection="1">
      <alignment horizontal="right" vertical="center"/>
    </xf>
    <xf numFmtId="49" fontId="0" fillId="6" borderId="12" xfId="0" applyNumberFormat="1" applyFill="1" applyBorder="1" applyProtection="1"/>
    <xf numFmtId="49" fontId="0" fillId="6" borderId="9" xfId="0" applyNumberFormat="1" applyFill="1" applyBorder="1" applyProtection="1"/>
    <xf numFmtId="49" fontId="0" fillId="6" borderId="13" xfId="0" applyNumberFormat="1" applyFill="1" applyBorder="1" applyProtection="1"/>
    <xf numFmtId="2" fontId="6" fillId="2" borderId="6" xfId="0" applyNumberFormat="1" applyFont="1" applyFill="1" applyBorder="1" applyAlignment="1" applyProtection="1">
      <alignment horizontal="center" vertical="center"/>
    </xf>
    <xf numFmtId="167" fontId="6" fillId="2" borderId="6" xfId="0" applyNumberFormat="1" applyFont="1" applyFill="1" applyBorder="1" applyAlignment="1" applyProtection="1">
      <alignment horizontal="center" vertical="center"/>
    </xf>
    <xf numFmtId="49" fontId="6" fillId="6" borderId="6" xfId="0" applyNumberFormat="1" applyFont="1" applyFill="1" applyBorder="1" applyAlignment="1" applyProtection="1">
      <alignment horizontal="center" vertical="center"/>
    </xf>
    <xf numFmtId="169" fontId="6" fillId="2" borderId="6" xfId="0" applyNumberFormat="1" applyFont="1" applyFill="1" applyBorder="1" applyAlignment="1" applyProtection="1">
      <alignment horizontal="right" vertical="center"/>
    </xf>
    <xf numFmtId="2" fontId="6" fillId="2" borderId="6" xfId="0" applyNumberFormat="1" applyFont="1" applyFill="1" applyBorder="1" applyAlignment="1" applyProtection="1">
      <alignment horizontal="right" vertical="center"/>
    </xf>
    <xf numFmtId="164" fontId="6" fillId="2" borderId="20" xfId="2" applyFont="1" applyFill="1" applyBorder="1" applyAlignment="1" applyProtection="1">
      <alignment horizontal="right" vertical="center"/>
    </xf>
    <xf numFmtId="0" fontId="0" fillId="6" borderId="9" xfId="0" applyFill="1" applyBorder="1" applyProtection="1"/>
    <xf numFmtId="0" fontId="6" fillId="2" borderId="0" xfId="0" applyFont="1" applyFill="1" applyBorder="1" applyProtection="1"/>
    <xf numFmtId="0" fontId="0" fillId="0" borderId="31" xfId="0" applyBorder="1" applyProtection="1"/>
    <xf numFmtId="167" fontId="6" fillId="2" borderId="0" xfId="0" applyNumberFormat="1" applyFont="1" applyFill="1" applyBorder="1" applyAlignment="1" applyProtection="1">
      <alignment horizontal="center" vertical="center"/>
    </xf>
    <xf numFmtId="49" fontId="6" fillId="2" borderId="0" xfId="0" applyNumberFormat="1" applyFont="1" applyFill="1" applyBorder="1" applyAlignment="1" applyProtection="1">
      <alignment horizontal="center" vertical="center"/>
    </xf>
    <xf numFmtId="169" fontId="6" fillId="2" borderId="0" xfId="0" applyNumberFormat="1" applyFont="1" applyFill="1" applyBorder="1" applyAlignment="1" applyProtection="1">
      <alignment horizontal="right" vertical="center"/>
    </xf>
    <xf numFmtId="0" fontId="0" fillId="2" borderId="0" xfId="0" applyFill="1" applyBorder="1" applyAlignment="1" applyProtection="1">
      <alignment horizontal="right"/>
    </xf>
    <xf numFmtId="2" fontId="6" fillId="2" borderId="0" xfId="0" applyNumberFormat="1" applyFont="1" applyFill="1" applyBorder="1" applyAlignment="1" applyProtection="1">
      <alignment horizontal="right" vertical="center"/>
    </xf>
    <xf numFmtId="164" fontId="6" fillId="2" borderId="26" xfId="2" applyFont="1" applyFill="1" applyBorder="1" applyAlignment="1" applyProtection="1">
      <alignment horizontal="right" vertical="center"/>
    </xf>
    <xf numFmtId="169" fontId="3" fillId="6" borderId="0" xfId="0" applyNumberFormat="1" applyFont="1" applyFill="1" applyAlignment="1" applyProtection="1">
      <alignment horizontal="right"/>
    </xf>
    <xf numFmtId="49" fontId="0" fillId="7" borderId="27" xfId="0" applyNumberFormat="1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</xf>
    <xf numFmtId="0" fontId="0" fillId="3" borderId="38" xfId="0" applyFill="1" applyBorder="1" applyProtection="1"/>
    <xf numFmtId="0" fontId="0" fillId="6" borderId="51" xfId="0" applyFill="1" applyBorder="1" applyProtection="1"/>
    <xf numFmtId="164" fontId="0" fillId="2" borderId="29" xfId="2" applyFont="1" applyFill="1" applyBorder="1" applyProtection="1"/>
    <xf numFmtId="0" fontId="0" fillId="2" borderId="14" xfId="0" applyFill="1" applyBorder="1" applyProtection="1"/>
    <xf numFmtId="170" fontId="1" fillId="2" borderId="14" xfId="1" applyNumberFormat="1" applyFill="1" applyBorder="1" applyProtection="1"/>
    <xf numFmtId="164" fontId="1" fillId="2" borderId="0" xfId="2" applyFill="1" applyProtection="1"/>
    <xf numFmtId="0" fontId="6" fillId="2" borderId="13" xfId="0" applyFont="1" applyFill="1" applyBorder="1" applyAlignment="1" applyProtection="1">
      <alignment horizontal="center" vertical="center" wrapText="1"/>
    </xf>
    <xf numFmtId="0" fontId="0" fillId="4" borderId="2" xfId="0" applyFill="1" applyBorder="1" applyProtection="1"/>
    <xf numFmtId="0" fontId="0" fillId="7" borderId="0" xfId="0" applyFill="1" applyProtection="1"/>
    <xf numFmtId="165" fontId="6" fillId="2" borderId="5" xfId="0" applyNumberFormat="1" applyFont="1" applyFill="1" applyBorder="1" applyAlignment="1" applyProtection="1">
      <alignment horizontal="center" vertical="center"/>
    </xf>
    <xf numFmtId="167" fontId="6" fillId="2" borderId="5" xfId="0" applyNumberFormat="1" applyFont="1" applyFill="1" applyBorder="1" applyAlignment="1" applyProtection="1">
      <alignment horizontal="right" vertical="center"/>
    </xf>
    <xf numFmtId="49" fontId="0" fillId="7" borderId="0" xfId="0" applyNumberFormat="1" applyFill="1" applyProtection="1"/>
    <xf numFmtId="165" fontId="6" fillId="2" borderId="1" xfId="0" applyNumberFormat="1" applyFont="1" applyFill="1" applyBorder="1" applyAlignment="1" applyProtection="1">
      <alignment horizontal="center" vertical="center"/>
    </xf>
    <xf numFmtId="167" fontId="6" fillId="2" borderId="1" xfId="0" applyNumberFormat="1" applyFont="1" applyFill="1" applyBorder="1" applyAlignment="1" applyProtection="1">
      <alignment horizontal="right" vertical="center"/>
    </xf>
    <xf numFmtId="165" fontId="6" fillId="2" borderId="6" xfId="0" applyNumberFormat="1" applyFont="1" applyFill="1" applyBorder="1" applyAlignment="1" applyProtection="1">
      <alignment horizontal="center" vertical="center"/>
    </xf>
    <xf numFmtId="167" fontId="6" fillId="2" borderId="6" xfId="0" applyNumberFormat="1" applyFont="1" applyFill="1" applyBorder="1" applyAlignment="1" applyProtection="1">
      <alignment horizontal="right" vertical="center"/>
    </xf>
    <xf numFmtId="165" fontId="0" fillId="2" borderId="0" xfId="0" applyNumberFormat="1" applyFill="1" applyBorder="1" applyProtection="1"/>
    <xf numFmtId="0" fontId="6" fillId="2" borderId="0" xfId="0" applyNumberFormat="1" applyFont="1" applyFill="1" applyBorder="1" applyAlignment="1" applyProtection="1">
      <alignment horizontal="right" vertical="center"/>
    </xf>
    <xf numFmtId="172" fontId="6" fillId="2" borderId="0" xfId="0" applyNumberFormat="1" applyFont="1" applyFill="1" applyBorder="1" applyAlignment="1" applyProtection="1">
      <alignment horizontal="right" vertical="center"/>
    </xf>
    <xf numFmtId="167" fontId="6" fillId="2" borderId="0" xfId="0" applyNumberFormat="1" applyFont="1" applyFill="1" applyBorder="1" applyAlignment="1" applyProtection="1">
      <alignment horizontal="right" vertical="center"/>
    </xf>
    <xf numFmtId="164" fontId="6" fillId="2" borderId="0" xfId="2" applyFont="1" applyFill="1" applyBorder="1" applyAlignment="1" applyProtection="1">
      <alignment horizontal="right" vertical="center"/>
    </xf>
    <xf numFmtId="169" fontId="3" fillId="7" borderId="0" xfId="0" applyNumberFormat="1" applyFont="1" applyFill="1" applyAlignment="1" applyProtection="1">
      <alignment horizontal="right"/>
    </xf>
    <xf numFmtId="0" fontId="3" fillId="2" borderId="0" xfId="0" applyFont="1" applyFill="1" applyBorder="1" applyAlignment="1" applyProtection="1"/>
    <xf numFmtId="0" fontId="3" fillId="2" borderId="0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/>
    </xf>
    <xf numFmtId="0" fontId="0" fillId="2" borderId="0" xfId="0" applyFill="1" applyBorder="1" applyAlignment="1" applyProtection="1"/>
    <xf numFmtId="0" fontId="2" fillId="2" borderId="0" xfId="0" applyFont="1" applyFill="1" applyBorder="1" applyAlignment="1" applyProtection="1"/>
    <xf numFmtId="0" fontId="8" fillId="2" borderId="0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 wrapText="1"/>
    </xf>
    <xf numFmtId="0" fontId="0" fillId="2" borderId="0" xfId="0" applyFill="1" applyBorder="1" applyAlignment="1" applyProtection="1">
      <alignment horizontal="center" wrapText="1"/>
    </xf>
    <xf numFmtId="0" fontId="0" fillId="2" borderId="0" xfId="0" applyFill="1" applyBorder="1" applyAlignment="1" applyProtection="1">
      <alignment horizontal="center"/>
    </xf>
    <xf numFmtId="165" fontId="0" fillId="2" borderId="0" xfId="0" applyNumberFormat="1" applyFill="1" applyBorder="1" applyAlignment="1" applyProtection="1">
      <alignment horizontal="center"/>
    </xf>
    <xf numFmtId="0" fontId="1" fillId="6" borderId="1" xfId="0" applyFont="1" applyFill="1" applyBorder="1" applyProtection="1"/>
    <xf numFmtId="0" fontId="2" fillId="2" borderId="33" xfId="0" applyFont="1" applyFill="1" applyBorder="1" applyAlignment="1" applyProtection="1">
      <alignment horizontal="left"/>
    </xf>
    <xf numFmtId="0" fontId="2" fillId="2" borderId="36" xfId="0" applyFont="1" applyFill="1" applyBorder="1" applyAlignment="1" applyProtection="1">
      <alignment horizontal="left"/>
    </xf>
    <xf numFmtId="0" fontId="2" fillId="2" borderId="50" xfId="0" applyFont="1" applyFill="1" applyBorder="1" applyAlignment="1" applyProtection="1">
      <alignment horizontal="center"/>
    </xf>
    <xf numFmtId="166" fontId="2" fillId="2" borderId="14" xfId="1" applyNumberFormat="1" applyFont="1" applyFill="1" applyBorder="1" applyAlignment="1" applyProtection="1">
      <alignment horizontal="center"/>
    </xf>
    <xf numFmtId="0" fontId="10" fillId="2" borderId="33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0" fontId="0" fillId="0" borderId="32" xfId="0" applyBorder="1"/>
    <xf numFmtId="0" fontId="0" fillId="0" borderId="35" xfId="0" applyBorder="1"/>
    <xf numFmtId="0" fontId="0" fillId="2" borderId="3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2" xfId="0" applyFill="1" applyBorder="1"/>
    <xf numFmtId="0" fontId="0" fillId="2" borderId="35" xfId="0" applyFill="1" applyBorder="1"/>
    <xf numFmtId="0" fontId="0" fillId="0" borderId="0" xfId="0" applyNumberFormat="1" applyProtection="1"/>
    <xf numFmtId="0" fontId="1" fillId="0" borderId="0" xfId="0" applyNumberFormat="1" applyFont="1" applyProtection="1"/>
    <xf numFmtId="0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7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1" fillId="0" borderId="0" xfId="0" applyFont="1"/>
    <xf numFmtId="0" fontId="1" fillId="2" borderId="16" xfId="0" applyFont="1" applyFill="1" applyBorder="1" applyProtection="1"/>
    <xf numFmtId="0" fontId="4" fillId="2" borderId="0" xfId="0" applyFont="1" applyFill="1" applyBorder="1" applyAlignment="1" applyProtection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/>
    <xf numFmtId="0" fontId="0" fillId="10" borderId="56" xfId="0" applyNumberFormat="1" applyFill="1" applyBorder="1" applyAlignment="1" applyProtection="1">
      <alignment horizontal="center"/>
    </xf>
    <xf numFmtId="0" fontId="0" fillId="2" borderId="81" xfId="0" applyFill="1" applyBorder="1" applyAlignment="1" applyProtection="1">
      <alignment horizontal="center"/>
    </xf>
    <xf numFmtId="0" fontId="0" fillId="10" borderId="59" xfId="0" applyNumberFormat="1" applyFill="1" applyBorder="1" applyAlignment="1" applyProtection="1">
      <alignment horizontal="center"/>
    </xf>
    <xf numFmtId="0" fontId="0" fillId="10" borderId="61" xfId="0" applyNumberFormat="1" applyFill="1" applyBorder="1" applyAlignment="1" applyProtection="1">
      <alignment horizontal="center"/>
    </xf>
    <xf numFmtId="0" fontId="0" fillId="10" borderId="53" xfId="0" applyNumberFormat="1" applyFill="1" applyBorder="1" applyAlignment="1" applyProtection="1">
      <alignment horizontal="center"/>
    </xf>
    <xf numFmtId="0" fontId="1" fillId="6" borderId="56" xfId="0" applyFont="1" applyFill="1" applyBorder="1" applyAlignment="1" applyProtection="1">
      <alignment horizontal="center" vertical="center"/>
      <protection locked="0"/>
    </xf>
    <xf numFmtId="0" fontId="1" fillId="6" borderId="59" xfId="0" applyFont="1" applyFill="1" applyBorder="1" applyAlignment="1" applyProtection="1">
      <alignment horizontal="center" vertical="center"/>
      <protection locked="0"/>
    </xf>
    <xf numFmtId="0" fontId="1" fillId="6" borderId="56" xfId="0" applyFont="1" applyFill="1" applyBorder="1" applyAlignment="1" applyProtection="1">
      <alignment horizontal="center" vertical="center"/>
    </xf>
    <xf numFmtId="14" fontId="3" fillId="3" borderId="41" xfId="0" applyNumberFormat="1" applyFont="1" applyFill="1" applyBorder="1" applyProtection="1">
      <protection locked="0"/>
    </xf>
    <xf numFmtId="2" fontId="6" fillId="2" borderId="63" xfId="0" quotePrefix="1" applyNumberFormat="1" applyFont="1" applyFill="1" applyBorder="1" applyAlignment="1" applyProtection="1">
      <alignment horizontal="center" vertical="center"/>
    </xf>
    <xf numFmtId="1" fontId="6" fillId="2" borderId="55" xfId="0" applyNumberFormat="1" applyFont="1" applyFill="1" applyBorder="1" applyAlignment="1" applyProtection="1">
      <alignment horizontal="center" vertical="center"/>
    </xf>
    <xf numFmtId="1" fontId="1" fillId="3" borderId="57" xfId="0" applyNumberFormat="1" applyFont="1" applyFill="1" applyBorder="1" applyAlignment="1" applyProtection="1">
      <alignment horizontal="center" vertical="center"/>
      <protection locked="0"/>
    </xf>
    <xf numFmtId="1" fontId="1" fillId="3" borderId="55" xfId="0" applyNumberFormat="1" applyFont="1" applyFill="1" applyBorder="1" applyAlignment="1" applyProtection="1">
      <alignment horizontal="center" vertical="center"/>
      <protection locked="0"/>
    </xf>
    <xf numFmtId="1" fontId="1" fillId="3" borderId="58" xfId="0" applyNumberFormat="1" applyFont="1" applyFill="1" applyBorder="1" applyAlignment="1" applyProtection="1">
      <alignment horizontal="center" vertical="center"/>
      <protection locked="0"/>
    </xf>
    <xf numFmtId="1" fontId="1" fillId="3" borderId="60" xfId="0" applyNumberFormat="1" applyFont="1" applyFill="1" applyBorder="1" applyAlignment="1" applyProtection="1">
      <alignment horizontal="center" vertical="center"/>
      <protection locked="0"/>
    </xf>
    <xf numFmtId="1" fontId="1" fillId="3" borderId="64" xfId="0" applyNumberFormat="1" applyFont="1" applyFill="1" applyBorder="1" applyAlignment="1" applyProtection="1">
      <alignment horizontal="center" vertical="center"/>
      <protection locked="0"/>
    </xf>
    <xf numFmtId="1" fontId="1" fillId="3" borderId="65" xfId="0" applyNumberFormat="1" applyFont="1" applyFill="1" applyBorder="1" applyAlignment="1" applyProtection="1">
      <alignment horizontal="center" vertical="center"/>
      <protection locked="0"/>
    </xf>
    <xf numFmtId="1" fontId="6" fillId="3" borderId="58" xfId="0" applyNumberFormat="1" applyFont="1" applyFill="1" applyBorder="1" applyAlignment="1" applyProtection="1">
      <alignment horizontal="center" vertical="center"/>
      <protection locked="0"/>
    </xf>
    <xf numFmtId="1" fontId="6" fillId="3" borderId="60" xfId="0" applyNumberFormat="1" applyFont="1" applyFill="1" applyBorder="1" applyAlignment="1" applyProtection="1">
      <alignment horizontal="center" vertical="center"/>
      <protection locked="0"/>
    </xf>
    <xf numFmtId="1" fontId="6" fillId="3" borderId="64" xfId="0" applyNumberFormat="1" applyFont="1" applyFill="1" applyBorder="1" applyAlignment="1" applyProtection="1">
      <alignment horizontal="center" vertical="center"/>
      <protection locked="0"/>
    </xf>
    <xf numFmtId="1" fontId="6" fillId="3" borderId="65" xfId="0" applyNumberFormat="1" applyFont="1" applyFill="1" applyBorder="1" applyAlignment="1" applyProtection="1">
      <alignment horizontal="center" vertical="center"/>
      <protection locked="0"/>
    </xf>
    <xf numFmtId="1" fontId="6" fillId="3" borderId="52" xfId="0" applyNumberFormat="1" applyFont="1" applyFill="1" applyBorder="1" applyAlignment="1" applyProtection="1">
      <alignment horizontal="center" vertical="center"/>
      <protection locked="0"/>
    </xf>
    <xf numFmtId="1" fontId="6" fillId="3" borderId="55" xfId="0" applyNumberFormat="1" applyFont="1" applyFill="1" applyBorder="1" applyAlignment="1" applyProtection="1">
      <alignment horizontal="center"/>
      <protection locked="0"/>
    </xf>
    <xf numFmtId="1" fontId="6" fillId="3" borderId="57" xfId="0" applyNumberFormat="1" applyFont="1" applyFill="1" applyBorder="1" applyAlignment="1" applyProtection="1">
      <alignment horizontal="center"/>
      <protection locked="0"/>
    </xf>
    <xf numFmtId="1" fontId="6" fillId="3" borderId="58" xfId="0" applyNumberFormat="1" applyFont="1" applyFill="1" applyBorder="1" applyAlignment="1" applyProtection="1">
      <alignment horizontal="center"/>
      <protection locked="0"/>
    </xf>
    <xf numFmtId="1" fontId="6" fillId="3" borderId="60" xfId="0" applyNumberFormat="1" applyFont="1" applyFill="1" applyBorder="1" applyAlignment="1" applyProtection="1">
      <alignment horizontal="center"/>
      <protection locked="0"/>
    </xf>
    <xf numFmtId="1" fontId="6" fillId="3" borderId="54" xfId="0" applyNumberFormat="1" applyFont="1" applyFill="1" applyBorder="1" applyAlignment="1" applyProtection="1">
      <alignment horizontal="center"/>
      <protection locked="0"/>
    </xf>
    <xf numFmtId="1" fontId="6" fillId="3" borderId="63" xfId="0" applyNumberFormat="1" applyFont="1" applyFill="1" applyBorder="1" applyAlignment="1" applyProtection="1">
      <alignment horizontal="center"/>
      <protection locked="0"/>
    </xf>
    <xf numFmtId="1" fontId="6" fillId="3" borderId="64" xfId="0" applyNumberFormat="1" applyFont="1" applyFill="1" applyBorder="1" applyAlignment="1" applyProtection="1">
      <alignment horizontal="center"/>
      <protection locked="0"/>
    </xf>
    <xf numFmtId="1" fontId="6" fillId="3" borderId="65" xfId="0" applyNumberFormat="1" applyFont="1" applyFill="1" applyBorder="1" applyAlignment="1" applyProtection="1">
      <alignment horizontal="center"/>
      <protection locked="0"/>
    </xf>
    <xf numFmtId="1" fontId="6" fillId="3" borderId="66" xfId="0" applyNumberFormat="1" applyFont="1" applyFill="1" applyBorder="1" applyAlignment="1" applyProtection="1">
      <alignment horizontal="center"/>
      <protection locked="0"/>
    </xf>
    <xf numFmtId="2" fontId="0" fillId="3" borderId="56" xfId="0" applyNumberFormat="1" applyFill="1" applyBorder="1" applyAlignment="1" applyProtection="1">
      <alignment horizontal="center"/>
      <protection locked="0"/>
    </xf>
    <xf numFmtId="2" fontId="0" fillId="3" borderId="59" xfId="0" applyNumberFormat="1" applyFill="1" applyBorder="1" applyAlignment="1" applyProtection="1">
      <alignment horizontal="center"/>
      <protection locked="0"/>
    </xf>
    <xf numFmtId="2" fontId="6" fillId="3" borderId="53" xfId="0" applyNumberFormat="1" applyFont="1" applyFill="1" applyBorder="1" applyAlignment="1" applyProtection="1">
      <alignment horizontal="center" vertical="center"/>
      <protection locked="0"/>
    </xf>
    <xf numFmtId="2" fontId="6" fillId="3" borderId="56" xfId="0" applyNumberFormat="1" applyFont="1" applyFill="1" applyBorder="1" applyAlignment="1" applyProtection="1">
      <alignment horizontal="center" vertical="center"/>
      <protection locked="0"/>
    </xf>
    <xf numFmtId="2" fontId="6" fillId="3" borderId="59" xfId="0" applyNumberFormat="1" applyFont="1" applyFill="1" applyBorder="1" applyAlignment="1" applyProtection="1">
      <alignment horizontal="center" vertical="center"/>
      <protection locked="0"/>
    </xf>
    <xf numFmtId="2" fontId="6" fillId="3" borderId="61" xfId="0" applyNumberFormat="1" applyFont="1" applyFill="1" applyBorder="1" applyAlignment="1" applyProtection="1">
      <alignment horizontal="center" vertical="center"/>
      <protection locked="0"/>
    </xf>
    <xf numFmtId="169" fontId="1" fillId="3" borderId="56" xfId="0" applyNumberFormat="1" applyFont="1" applyFill="1" applyBorder="1" applyAlignment="1" applyProtection="1">
      <alignment horizontal="center" vertical="center"/>
      <protection locked="0"/>
    </xf>
    <xf numFmtId="169" fontId="1" fillId="3" borderId="59" xfId="0" applyNumberFormat="1" applyFont="1" applyFill="1" applyBorder="1" applyAlignment="1" applyProtection="1">
      <alignment horizontal="center" vertical="center"/>
      <protection locked="0"/>
    </xf>
    <xf numFmtId="169" fontId="6" fillId="3" borderId="59" xfId="0" applyNumberFormat="1" applyFont="1" applyFill="1" applyBorder="1" applyAlignment="1" applyProtection="1">
      <alignment horizontal="center" vertical="center"/>
      <protection locked="0"/>
    </xf>
    <xf numFmtId="169" fontId="6" fillId="3" borderId="53" xfId="0" applyNumberFormat="1" applyFont="1" applyFill="1" applyBorder="1" applyAlignment="1" applyProtection="1">
      <alignment horizontal="center"/>
      <protection locked="0"/>
    </xf>
    <xf numFmtId="169" fontId="6" fillId="3" borderId="56" xfId="0" applyNumberFormat="1" applyFont="1" applyFill="1" applyBorder="1" applyAlignment="1" applyProtection="1">
      <alignment horizontal="center"/>
      <protection locked="0"/>
    </xf>
    <xf numFmtId="169" fontId="6" fillId="3" borderId="59" xfId="0" applyNumberFormat="1" applyFont="1" applyFill="1" applyBorder="1" applyAlignment="1" applyProtection="1">
      <alignment horizontal="center"/>
      <protection locked="0"/>
    </xf>
    <xf numFmtId="169" fontId="6" fillId="3" borderId="61" xfId="0" applyNumberFormat="1" applyFont="1" applyFill="1" applyBorder="1" applyAlignment="1" applyProtection="1">
      <alignment horizontal="center"/>
      <protection locked="0"/>
    </xf>
    <xf numFmtId="0" fontId="1" fillId="3" borderId="57" xfId="0" applyNumberFormat="1" applyFont="1" applyFill="1" applyBorder="1" applyAlignment="1" applyProtection="1">
      <alignment horizontal="center" vertical="center"/>
      <protection locked="0"/>
    </xf>
    <xf numFmtId="0" fontId="1" fillId="3" borderId="55" xfId="0" applyNumberFormat="1" applyFont="1" applyFill="1" applyBorder="1" applyAlignment="1" applyProtection="1">
      <alignment horizontal="center" vertical="center"/>
      <protection locked="0"/>
    </xf>
    <xf numFmtId="0" fontId="6" fillId="3" borderId="57" xfId="0" applyNumberFormat="1" applyFont="1" applyFill="1" applyBorder="1" applyAlignment="1" applyProtection="1">
      <alignment horizontal="center" vertical="center"/>
      <protection locked="0"/>
    </xf>
    <xf numFmtId="0" fontId="6" fillId="3" borderId="55" xfId="0" applyNumberFormat="1" applyFont="1" applyFill="1" applyBorder="1" applyAlignment="1" applyProtection="1">
      <alignment horizontal="center" vertical="center"/>
      <protection locked="0"/>
    </xf>
    <xf numFmtId="167" fontId="23" fillId="0" borderId="47" xfId="0" applyNumberFormat="1" applyFont="1" applyBorder="1"/>
    <xf numFmtId="167" fontId="23" fillId="0" borderId="48" xfId="0" applyNumberFormat="1" applyFont="1" applyBorder="1"/>
    <xf numFmtId="167" fontId="23" fillId="0" borderId="46" xfId="0" applyNumberFormat="1" applyFont="1" applyBorder="1"/>
    <xf numFmtId="0" fontId="6" fillId="3" borderId="52" xfId="0" applyNumberFormat="1" applyFont="1" applyFill="1" applyBorder="1" applyAlignment="1" applyProtection="1">
      <alignment horizontal="center" vertical="center"/>
      <protection locked="0"/>
    </xf>
    <xf numFmtId="0" fontId="6" fillId="3" borderId="54" xfId="0" applyNumberFormat="1" applyFont="1" applyFill="1" applyBorder="1" applyAlignment="1" applyProtection="1">
      <alignment horizontal="center" vertical="center"/>
      <protection locked="0"/>
    </xf>
    <xf numFmtId="0" fontId="6" fillId="3" borderId="55" xfId="0" applyNumberFormat="1" applyFont="1" applyFill="1" applyBorder="1" applyAlignment="1" applyProtection="1">
      <alignment horizontal="center"/>
      <protection locked="0"/>
    </xf>
    <xf numFmtId="0" fontId="6" fillId="3" borderId="57" xfId="0" applyNumberFormat="1" applyFont="1" applyFill="1" applyBorder="1" applyAlignment="1" applyProtection="1">
      <alignment horizontal="center"/>
      <protection locked="0"/>
    </xf>
    <xf numFmtId="0" fontId="6" fillId="3" borderId="54" xfId="0" applyNumberFormat="1" applyFont="1" applyFill="1" applyBorder="1" applyAlignment="1" applyProtection="1">
      <alignment horizontal="center"/>
      <protection locked="0"/>
    </xf>
    <xf numFmtId="2" fontId="0" fillId="2" borderId="14" xfId="0" applyNumberFormat="1" applyFill="1" applyBorder="1" applyAlignment="1" applyProtection="1">
      <alignment horizontal="center"/>
    </xf>
    <xf numFmtId="1" fontId="1" fillId="3" borderId="52" xfId="0" applyNumberFormat="1" applyFont="1" applyFill="1" applyBorder="1" applyAlignment="1" applyProtection="1">
      <alignment horizontal="center" vertical="center"/>
      <protection locked="0"/>
    </xf>
    <xf numFmtId="169" fontId="1" fillId="3" borderId="53" xfId="0" applyNumberFormat="1" applyFont="1" applyFill="1" applyBorder="1" applyAlignment="1" applyProtection="1">
      <alignment horizontal="center" vertical="center"/>
      <protection locked="0"/>
    </xf>
    <xf numFmtId="167" fontId="0" fillId="0" borderId="53" xfId="0" applyNumberFormat="1" applyBorder="1" applyAlignment="1" applyProtection="1">
      <alignment horizontal="center"/>
    </xf>
    <xf numFmtId="165" fontId="0" fillId="0" borderId="53" xfId="0" applyNumberFormat="1" applyFill="1" applyBorder="1" applyAlignment="1" applyProtection="1">
      <alignment horizontal="center"/>
    </xf>
    <xf numFmtId="165" fontId="0" fillId="0" borderId="53" xfId="0" applyNumberFormat="1" applyBorder="1" applyAlignment="1" applyProtection="1">
      <alignment horizontal="center"/>
    </xf>
    <xf numFmtId="0" fontId="0" fillId="6" borderId="53" xfId="0" applyFill="1" applyBorder="1" applyAlignment="1" applyProtection="1">
      <alignment horizontal="center"/>
    </xf>
    <xf numFmtId="10" fontId="1" fillId="0" borderId="53" xfId="1" applyNumberFormat="1" applyBorder="1" applyAlignment="1" applyProtection="1">
      <alignment horizontal="center"/>
    </xf>
    <xf numFmtId="0" fontId="3" fillId="6" borderId="53" xfId="0" applyFont="1" applyFill="1" applyBorder="1" applyAlignment="1" applyProtection="1">
      <alignment horizontal="center"/>
    </xf>
    <xf numFmtId="169" fontId="0" fillId="6" borderId="53" xfId="0" applyNumberFormat="1" applyFill="1" applyBorder="1" applyAlignment="1" applyProtection="1">
      <alignment horizontal="center"/>
    </xf>
    <xf numFmtId="2" fontId="0" fillId="0" borderId="54" xfId="0" applyNumberFormat="1" applyBorder="1" applyAlignment="1" applyProtection="1">
      <alignment horizontal="center"/>
    </xf>
    <xf numFmtId="49" fontId="6" fillId="3" borderId="53" xfId="0" applyNumberFormat="1" applyFont="1" applyFill="1" applyBorder="1" applyAlignment="1" applyProtection="1">
      <alignment horizontal="center" vertical="center"/>
    </xf>
    <xf numFmtId="2" fontId="0" fillId="3" borderId="53" xfId="0" applyNumberFormat="1" applyFill="1" applyBorder="1" applyAlignment="1" applyProtection="1">
      <alignment horizont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 wrapText="1"/>
    </xf>
    <xf numFmtId="0" fontId="6" fillId="11" borderId="14" xfId="0" applyFont="1" applyFill="1" applyBorder="1" applyAlignment="1" applyProtection="1">
      <alignment wrapText="1"/>
    </xf>
    <xf numFmtId="0" fontId="1" fillId="0" borderId="0" xfId="0" applyFont="1" applyProtection="1"/>
    <xf numFmtId="0" fontId="1" fillId="2" borderId="16" xfId="0" applyFont="1" applyFill="1" applyBorder="1" applyAlignment="1" applyProtection="1">
      <alignment horizontal="center" vertical="center"/>
    </xf>
    <xf numFmtId="0" fontId="1" fillId="3" borderId="29" xfId="0" applyFont="1" applyFill="1" applyBorder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 vertical="center"/>
    </xf>
    <xf numFmtId="0" fontId="5" fillId="6" borderId="0" xfId="0" applyFont="1" applyFill="1" applyBorder="1" applyAlignment="1" applyProtection="1">
      <alignment horizontal="center" vertical="center" wrapText="1"/>
    </xf>
    <xf numFmtId="0" fontId="20" fillId="2" borderId="0" xfId="0" applyFont="1" applyFill="1" applyBorder="1" applyAlignment="1" applyProtection="1">
      <alignment horizontal="center"/>
    </xf>
    <xf numFmtId="0" fontId="0" fillId="6" borderId="0" xfId="0" applyFont="1" applyFill="1" applyBorder="1" applyAlignment="1" applyProtection="1">
      <alignment horizontal="center"/>
    </xf>
    <xf numFmtId="0" fontId="0" fillId="0" borderId="93" xfId="0" applyBorder="1" applyProtection="1"/>
    <xf numFmtId="0" fontId="0" fillId="0" borderId="0" xfId="0" applyBorder="1" applyAlignment="1" applyProtection="1">
      <alignment horizontal="center"/>
    </xf>
    <xf numFmtId="0" fontId="0" fillId="0" borderId="26" xfId="0" applyBorder="1" applyProtection="1"/>
    <xf numFmtId="0" fontId="20" fillId="2" borderId="93" xfId="0" applyFont="1" applyFill="1" applyBorder="1" applyAlignment="1" applyProtection="1">
      <alignment horizontal="center"/>
    </xf>
    <xf numFmtId="0" fontId="0" fillId="2" borderId="93" xfId="0" applyFill="1" applyBorder="1" applyProtection="1"/>
    <xf numFmtId="0" fontId="0" fillId="2" borderId="26" xfId="0" applyFill="1" applyBorder="1" applyProtection="1"/>
    <xf numFmtId="0" fontId="1" fillId="2" borderId="0" xfId="0" applyFont="1" applyFill="1" applyBorder="1" applyAlignment="1" applyProtection="1">
      <alignment horizontal="right"/>
    </xf>
    <xf numFmtId="165" fontId="0" fillId="2" borderId="97" xfId="0" applyNumberFormat="1" applyFill="1" applyBorder="1" applyAlignment="1" applyProtection="1">
      <alignment horizontal="center"/>
    </xf>
    <xf numFmtId="1" fontId="0" fillId="2" borderId="98" xfId="0" applyNumberFormat="1" applyFill="1" applyBorder="1" applyAlignment="1" applyProtection="1">
      <alignment horizontal="center"/>
    </xf>
    <xf numFmtId="1" fontId="0" fillId="2" borderId="99" xfId="0" applyNumberFormat="1" applyFill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2" fontId="0" fillId="2" borderId="97" xfId="0" applyNumberFormat="1" applyFill="1" applyBorder="1" applyAlignment="1" applyProtection="1">
      <alignment horizontal="center"/>
    </xf>
    <xf numFmtId="49" fontId="0" fillId="2" borderId="0" xfId="0" applyNumberFormat="1" applyFill="1" applyBorder="1" applyAlignment="1" applyProtection="1">
      <alignment horizontal="right"/>
    </xf>
    <xf numFmtId="0" fontId="0" fillId="10" borderId="0" xfId="0" applyFill="1" applyBorder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center" vertical="center"/>
    </xf>
    <xf numFmtId="0" fontId="1" fillId="12" borderId="71" xfId="0" applyFont="1" applyFill="1" applyBorder="1" applyAlignment="1" applyProtection="1">
      <alignment horizontal="center" vertical="center" textRotation="90"/>
    </xf>
    <xf numFmtId="0" fontId="0" fillId="12" borderId="68" xfId="0" applyFill="1" applyBorder="1" applyAlignment="1" applyProtection="1">
      <alignment horizontal="center" vertical="center" textRotation="90"/>
    </xf>
    <xf numFmtId="0" fontId="0" fillId="12" borderId="69" xfId="0" applyFill="1" applyBorder="1" applyAlignment="1" applyProtection="1">
      <alignment horizontal="center" vertical="center" textRotation="90"/>
    </xf>
    <xf numFmtId="0" fontId="5" fillId="5" borderId="71" xfId="0" applyFont="1" applyFill="1" applyBorder="1" applyAlignment="1" applyProtection="1">
      <alignment horizontal="center" vertical="center" textRotation="90"/>
    </xf>
    <xf numFmtId="0" fontId="5" fillId="5" borderId="68" xfId="0" applyFont="1" applyFill="1" applyBorder="1" applyAlignment="1" applyProtection="1">
      <alignment horizontal="center" vertical="center" textRotation="90"/>
    </xf>
    <xf numFmtId="0" fontId="5" fillId="5" borderId="69" xfId="0" applyFont="1" applyFill="1" applyBorder="1" applyAlignment="1" applyProtection="1">
      <alignment horizontal="center" vertical="center" textRotation="90"/>
    </xf>
    <xf numFmtId="0" fontId="20" fillId="2" borderId="0" xfId="0" applyFont="1" applyFill="1" applyBorder="1" applyAlignment="1" applyProtection="1">
      <alignment horizontal="center"/>
    </xf>
    <xf numFmtId="0" fontId="6" fillId="5" borderId="75" xfId="0" applyFont="1" applyFill="1" applyBorder="1" applyAlignment="1" applyProtection="1">
      <alignment horizontal="center" wrapText="1"/>
    </xf>
    <xf numFmtId="0" fontId="6" fillId="5" borderId="81" xfId="0" applyFont="1" applyFill="1" applyBorder="1" applyAlignment="1" applyProtection="1">
      <alignment horizontal="center" wrapText="1"/>
    </xf>
    <xf numFmtId="0" fontId="6" fillId="5" borderId="76" xfId="0" applyFont="1" applyFill="1" applyBorder="1" applyAlignment="1" applyProtection="1">
      <alignment horizontal="center" wrapText="1"/>
    </xf>
    <xf numFmtId="0" fontId="3" fillId="7" borderId="41" xfId="0" applyFont="1" applyFill="1" applyBorder="1" applyAlignment="1" applyProtection="1">
      <alignment horizontal="left"/>
      <protection locked="0"/>
    </xf>
    <xf numFmtId="0" fontId="3" fillId="7" borderId="84" xfId="0" applyFont="1" applyFill="1" applyBorder="1" applyAlignment="1" applyProtection="1">
      <alignment horizontal="left"/>
      <protection locked="0"/>
    </xf>
    <xf numFmtId="0" fontId="7" fillId="5" borderId="75" xfId="0" applyFont="1" applyFill="1" applyBorder="1" applyAlignment="1" applyProtection="1">
      <alignment horizontal="center" wrapText="1"/>
    </xf>
    <xf numFmtId="0" fontId="7" fillId="5" borderId="76" xfId="0" applyFont="1" applyFill="1" applyBorder="1" applyAlignment="1" applyProtection="1">
      <alignment horizontal="center" wrapText="1"/>
    </xf>
    <xf numFmtId="0" fontId="0" fillId="5" borderId="75" xfId="0" applyFill="1" applyBorder="1" applyAlignment="1" applyProtection="1">
      <alignment horizontal="center"/>
    </xf>
    <xf numFmtId="0" fontId="0" fillId="5" borderId="76" xfId="0" applyFill="1" applyBorder="1" applyAlignment="1" applyProtection="1">
      <alignment horizontal="center"/>
    </xf>
    <xf numFmtId="0" fontId="6" fillId="5" borderId="14" xfId="0" applyFont="1" applyFill="1" applyBorder="1" applyAlignment="1" applyProtection="1">
      <alignment horizontal="center" wrapText="1"/>
    </xf>
    <xf numFmtId="0" fontId="6" fillId="5" borderId="30" xfId="0" applyFont="1" applyFill="1" applyBorder="1" applyAlignment="1" applyProtection="1">
      <alignment horizontal="center" wrapText="1"/>
    </xf>
    <xf numFmtId="0" fontId="3" fillId="7" borderId="38" xfId="0" applyFont="1" applyFill="1" applyBorder="1" applyAlignment="1" applyProtection="1">
      <alignment horizontal="left"/>
      <protection locked="0"/>
    </xf>
    <xf numFmtId="0" fontId="5" fillId="5" borderId="39" xfId="0" applyFont="1" applyFill="1" applyBorder="1" applyAlignment="1" applyProtection="1">
      <alignment horizontal="center" vertical="center" wrapText="1"/>
    </xf>
    <xf numFmtId="0" fontId="5" fillId="5" borderId="70" xfId="0" applyFont="1" applyFill="1" applyBorder="1" applyAlignment="1" applyProtection="1">
      <alignment horizontal="center" vertical="center" wrapText="1"/>
    </xf>
    <xf numFmtId="0" fontId="6" fillId="5" borderId="39" xfId="0" applyFont="1" applyFill="1" applyBorder="1" applyAlignment="1" applyProtection="1">
      <alignment horizontal="center" vertical="center" wrapText="1"/>
    </xf>
    <xf numFmtId="0" fontId="6" fillId="5" borderId="70" xfId="0" applyFont="1" applyFill="1" applyBorder="1" applyAlignment="1" applyProtection="1">
      <alignment horizontal="center" vertical="center" wrapText="1"/>
    </xf>
    <xf numFmtId="0" fontId="0" fillId="6" borderId="10" xfId="0" applyFill="1" applyBorder="1" applyAlignment="1" applyProtection="1">
      <alignment horizontal="center"/>
    </xf>
    <xf numFmtId="0" fontId="0" fillId="6" borderId="11" xfId="0" applyFill="1" applyBorder="1" applyAlignment="1" applyProtection="1">
      <alignment horizontal="center"/>
    </xf>
    <xf numFmtId="0" fontId="5" fillId="6" borderId="4" xfId="0" applyFont="1" applyFill="1" applyBorder="1" applyAlignment="1" applyProtection="1">
      <alignment horizontal="center" vertical="center" wrapText="1"/>
    </xf>
    <xf numFmtId="0" fontId="5" fillId="6" borderId="0" xfId="0" applyFont="1" applyFill="1" applyBorder="1" applyAlignment="1" applyProtection="1">
      <alignment horizontal="center" vertical="center" wrapText="1"/>
    </xf>
    <xf numFmtId="0" fontId="3" fillId="6" borderId="10" xfId="0" applyFont="1" applyFill="1" applyBorder="1" applyAlignment="1" applyProtection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/>
    </xf>
    <xf numFmtId="0" fontId="3" fillId="5" borderId="39" xfId="0" applyFont="1" applyFill="1" applyBorder="1" applyAlignment="1" applyProtection="1">
      <alignment horizontal="center" vertical="center" wrapText="1"/>
    </xf>
    <xf numFmtId="0" fontId="3" fillId="5" borderId="70" xfId="0" applyFont="1" applyFill="1" applyBorder="1" applyAlignment="1" applyProtection="1">
      <alignment horizontal="center" vertical="center" wrapText="1"/>
    </xf>
    <xf numFmtId="0" fontId="3" fillId="7" borderId="79" xfId="0" applyFont="1" applyFill="1" applyBorder="1" applyAlignment="1" applyProtection="1">
      <alignment horizontal="left"/>
      <protection locked="0"/>
    </xf>
    <xf numFmtId="0" fontId="3" fillId="7" borderId="44" xfId="0" applyFont="1" applyFill="1" applyBorder="1" applyAlignment="1" applyProtection="1">
      <alignment horizontal="left"/>
      <protection locked="0"/>
    </xf>
    <xf numFmtId="0" fontId="3" fillId="7" borderId="80" xfId="0" applyFont="1" applyFill="1" applyBorder="1" applyAlignment="1" applyProtection="1">
      <alignment horizontal="left"/>
      <protection locked="0"/>
    </xf>
    <xf numFmtId="0" fontId="3" fillId="7" borderId="51" xfId="0" applyFont="1" applyFill="1" applyBorder="1" applyAlignment="1" applyProtection="1">
      <alignment horizontal="left"/>
      <protection locked="0"/>
    </xf>
    <xf numFmtId="0" fontId="0" fillId="5" borderId="81" xfId="0" applyFill="1" applyBorder="1" applyAlignment="1" applyProtection="1">
      <alignment horizontal="center"/>
    </xf>
    <xf numFmtId="0" fontId="5" fillId="5" borderId="14" xfId="0" applyFont="1" applyFill="1" applyBorder="1" applyAlignment="1" applyProtection="1">
      <alignment horizontal="center" wrapText="1"/>
    </xf>
    <xf numFmtId="0" fontId="5" fillId="5" borderId="30" xfId="0" applyFont="1" applyFill="1" applyBorder="1" applyAlignment="1" applyProtection="1">
      <alignment horizontal="center" wrapText="1"/>
    </xf>
    <xf numFmtId="0" fontId="3" fillId="7" borderId="82" xfId="0" applyFont="1" applyFill="1" applyBorder="1" applyAlignment="1" applyProtection="1">
      <alignment horizontal="left"/>
      <protection locked="0"/>
    </xf>
    <xf numFmtId="0" fontId="3" fillId="7" borderId="45" xfId="0" applyFont="1" applyFill="1" applyBorder="1" applyAlignment="1" applyProtection="1">
      <alignment horizontal="left"/>
      <protection locked="0"/>
    </xf>
    <xf numFmtId="0" fontId="3" fillId="7" borderId="83" xfId="0" applyFont="1" applyFill="1" applyBorder="1" applyAlignment="1" applyProtection="1">
      <alignment horizontal="left"/>
      <protection locked="0"/>
    </xf>
    <xf numFmtId="0" fontId="0" fillId="5" borderId="71" xfId="0" applyFill="1" applyBorder="1" applyAlignment="1" applyProtection="1">
      <alignment horizontal="center" vertical="center" textRotation="90" wrapText="1"/>
    </xf>
    <xf numFmtId="0" fontId="0" fillId="5" borderId="68" xfId="0" applyFill="1" applyBorder="1" applyAlignment="1" applyProtection="1">
      <alignment horizontal="center" vertical="center" textRotation="90" wrapText="1"/>
    </xf>
    <xf numFmtId="0" fontId="0" fillId="5" borderId="69" xfId="0" applyFill="1" applyBorder="1" applyAlignment="1" applyProtection="1">
      <alignment horizontal="center" vertical="center" textRotation="90" wrapText="1"/>
    </xf>
    <xf numFmtId="0" fontId="0" fillId="5" borderId="72" xfId="0" applyFill="1" applyBorder="1" applyAlignment="1" applyProtection="1">
      <alignment horizontal="center" vertical="center" textRotation="90" wrapText="1"/>
    </xf>
    <xf numFmtId="0" fontId="0" fillId="5" borderId="73" xfId="0" applyFill="1" applyBorder="1" applyAlignment="1" applyProtection="1">
      <alignment horizontal="center" vertical="center" textRotation="90" wrapText="1"/>
    </xf>
    <xf numFmtId="0" fontId="0" fillId="5" borderId="74" xfId="0" applyFill="1" applyBorder="1" applyAlignment="1" applyProtection="1">
      <alignment horizontal="center" vertical="center" textRotation="90" wrapText="1"/>
    </xf>
    <xf numFmtId="0" fontId="6" fillId="5" borderId="75" xfId="0" applyFont="1" applyFill="1" applyBorder="1" applyAlignment="1" applyProtection="1">
      <alignment horizontal="center" vertical="center" wrapText="1"/>
    </xf>
    <xf numFmtId="0" fontId="6" fillId="5" borderId="76" xfId="0" applyFont="1" applyFill="1" applyBorder="1" applyAlignment="1" applyProtection="1">
      <alignment horizontal="center" vertical="center" wrapText="1"/>
    </xf>
    <xf numFmtId="49" fontId="6" fillId="2" borderId="77" xfId="0" applyNumberFormat="1" applyFont="1" applyFill="1" applyBorder="1" applyAlignment="1" applyProtection="1">
      <alignment horizontal="center" vertical="center"/>
    </xf>
    <xf numFmtId="49" fontId="6" fillId="2" borderId="78" xfId="0" applyNumberFormat="1" applyFont="1" applyFill="1" applyBorder="1" applyAlignment="1" applyProtection="1">
      <alignment horizontal="center" vertical="center"/>
    </xf>
    <xf numFmtId="0" fontId="0" fillId="11" borderId="71" xfId="0" applyFill="1" applyBorder="1" applyAlignment="1" applyProtection="1">
      <alignment horizontal="center" vertical="center" textRotation="90" wrapText="1"/>
    </xf>
    <xf numFmtId="0" fontId="0" fillId="11" borderId="68" xfId="0" applyFill="1" applyBorder="1" applyAlignment="1" applyProtection="1">
      <alignment horizontal="center" vertical="center" textRotation="90" wrapText="1"/>
    </xf>
    <xf numFmtId="0" fontId="0" fillId="11" borderId="69" xfId="0" applyFill="1" applyBorder="1" applyAlignment="1" applyProtection="1">
      <alignment horizontal="center" vertical="center" textRotation="90" wrapText="1"/>
    </xf>
    <xf numFmtId="0" fontId="1" fillId="3" borderId="41" xfId="0" applyNumberFormat="1" applyFont="1" applyFill="1" applyBorder="1" applyAlignment="1" applyProtection="1">
      <alignment horizontal="left"/>
      <protection locked="0"/>
    </xf>
    <xf numFmtId="0" fontId="3" fillId="3" borderId="41" xfId="0" applyNumberFormat="1" applyFont="1" applyFill="1" applyBorder="1" applyAlignment="1" applyProtection="1">
      <alignment horizontal="left"/>
      <protection locked="0"/>
    </xf>
    <xf numFmtId="0" fontId="5" fillId="11" borderId="71" xfId="0" applyFont="1" applyFill="1" applyBorder="1" applyAlignment="1" applyProtection="1">
      <alignment horizontal="center" vertical="center" textRotation="90"/>
    </xf>
    <xf numFmtId="0" fontId="5" fillId="11" borderId="68" xfId="0" applyFont="1" applyFill="1" applyBorder="1" applyAlignment="1" applyProtection="1">
      <alignment horizontal="center" vertical="center" textRotation="90"/>
    </xf>
    <xf numFmtId="0" fontId="5" fillId="11" borderId="69" xfId="0" applyFont="1" applyFill="1" applyBorder="1" applyAlignment="1" applyProtection="1">
      <alignment horizontal="center" vertical="center" textRotation="90"/>
    </xf>
    <xf numFmtId="0" fontId="5" fillId="11" borderId="39" xfId="0" applyFont="1" applyFill="1" applyBorder="1" applyAlignment="1" applyProtection="1">
      <alignment horizontal="center" vertical="center" wrapText="1"/>
    </xf>
    <xf numFmtId="0" fontId="5" fillId="11" borderId="85" xfId="0" applyFont="1" applyFill="1" applyBorder="1" applyAlignment="1" applyProtection="1">
      <alignment horizontal="center" vertical="center" wrapText="1"/>
    </xf>
    <xf numFmtId="0" fontId="6" fillId="11" borderId="39" xfId="0" applyFont="1" applyFill="1" applyBorder="1" applyAlignment="1" applyProtection="1">
      <alignment horizontal="center" vertical="center" wrapText="1"/>
    </xf>
    <xf numFmtId="0" fontId="6" fillId="11" borderId="85" xfId="0" applyFont="1" applyFill="1" applyBorder="1" applyAlignment="1" applyProtection="1">
      <alignment horizontal="center" vertical="center" wrapText="1"/>
    </xf>
    <xf numFmtId="0" fontId="1" fillId="11" borderId="75" xfId="0" applyFont="1" applyFill="1" applyBorder="1" applyAlignment="1" applyProtection="1">
      <alignment horizontal="center"/>
    </xf>
    <xf numFmtId="0" fontId="0" fillId="11" borderId="76" xfId="0" applyFill="1" applyBorder="1" applyAlignment="1" applyProtection="1">
      <alignment horizontal="center"/>
    </xf>
    <xf numFmtId="0" fontId="6" fillId="11" borderId="14" xfId="0" applyFont="1" applyFill="1" applyBorder="1" applyAlignment="1" applyProtection="1">
      <alignment horizontal="center" wrapText="1"/>
    </xf>
    <xf numFmtId="0" fontId="6" fillId="11" borderId="30" xfId="0" applyFont="1" applyFill="1" applyBorder="1" applyAlignment="1" applyProtection="1">
      <alignment horizontal="center" wrapText="1"/>
    </xf>
    <xf numFmtId="0" fontId="1" fillId="13" borderId="71" xfId="0" applyFont="1" applyFill="1" applyBorder="1" applyAlignment="1" applyProtection="1">
      <alignment horizontal="center" vertical="center" textRotation="90"/>
    </xf>
    <xf numFmtId="0" fontId="0" fillId="13" borderId="68" xfId="0" applyFill="1" applyBorder="1" applyAlignment="1" applyProtection="1">
      <alignment horizontal="center" vertical="center" textRotation="90"/>
    </xf>
    <xf numFmtId="0" fontId="0" fillId="13" borderId="69" xfId="0" applyFill="1" applyBorder="1" applyAlignment="1" applyProtection="1">
      <alignment horizontal="center" vertical="center" textRotation="90"/>
    </xf>
    <xf numFmtId="0" fontId="0" fillId="11" borderId="81" xfId="0" applyFill="1" applyBorder="1" applyAlignment="1" applyProtection="1">
      <alignment horizontal="center"/>
    </xf>
    <xf numFmtId="0" fontId="5" fillId="11" borderId="99" xfId="0" applyFont="1" applyFill="1" applyBorder="1" applyAlignment="1" applyProtection="1">
      <alignment horizontal="center" vertical="center" wrapText="1"/>
    </xf>
    <xf numFmtId="0" fontId="5" fillId="11" borderId="100" xfId="0" applyFont="1" applyFill="1" applyBorder="1" applyAlignment="1" applyProtection="1">
      <alignment horizontal="center" vertical="center" wrapText="1"/>
    </xf>
    <xf numFmtId="0" fontId="3" fillId="11" borderId="39" xfId="0" applyFont="1" applyFill="1" applyBorder="1" applyAlignment="1" applyProtection="1">
      <alignment horizontal="center" vertical="center" wrapText="1"/>
    </xf>
    <xf numFmtId="0" fontId="3" fillId="11" borderId="85" xfId="0" applyFont="1" applyFill="1" applyBorder="1" applyAlignment="1" applyProtection="1">
      <alignment horizontal="center" vertical="center" wrapText="1"/>
    </xf>
    <xf numFmtId="0" fontId="5" fillId="6" borderId="39" xfId="0" applyFont="1" applyFill="1" applyBorder="1" applyAlignment="1" applyProtection="1">
      <alignment horizontal="center" vertical="center" wrapText="1"/>
    </xf>
    <xf numFmtId="0" fontId="5" fillId="6" borderId="85" xfId="0" applyFont="1" applyFill="1" applyBorder="1" applyAlignment="1" applyProtection="1">
      <alignment horizontal="center" vertical="center" wrapText="1"/>
    </xf>
    <xf numFmtId="0" fontId="0" fillId="11" borderId="75" xfId="0" applyFill="1" applyBorder="1" applyAlignment="1" applyProtection="1">
      <alignment horizontal="center"/>
    </xf>
    <xf numFmtId="0" fontId="4" fillId="2" borderId="90" xfId="0" applyFont="1" applyFill="1" applyBorder="1" applyAlignment="1" applyProtection="1">
      <alignment horizontal="center"/>
    </xf>
    <xf numFmtId="0" fontId="4" fillId="2" borderId="91" xfId="0" applyFont="1" applyFill="1" applyBorder="1" applyAlignment="1" applyProtection="1">
      <alignment horizontal="center"/>
    </xf>
    <xf numFmtId="0" fontId="4" fillId="2" borderId="92" xfId="0" applyFont="1" applyFill="1" applyBorder="1" applyAlignment="1" applyProtection="1">
      <alignment horizontal="center"/>
    </xf>
    <xf numFmtId="0" fontId="7" fillId="11" borderId="75" xfId="0" applyFont="1" applyFill="1" applyBorder="1" applyAlignment="1" applyProtection="1">
      <alignment horizontal="center" wrapText="1"/>
    </xf>
    <xf numFmtId="0" fontId="7" fillId="11" borderId="76" xfId="0" applyFont="1" applyFill="1" applyBorder="1" applyAlignment="1" applyProtection="1">
      <alignment horizontal="center" wrapText="1"/>
    </xf>
    <xf numFmtId="0" fontId="5" fillId="11" borderId="14" xfId="0" applyFont="1" applyFill="1" applyBorder="1" applyAlignment="1" applyProtection="1">
      <alignment horizontal="center" wrapText="1"/>
    </xf>
    <xf numFmtId="0" fontId="0" fillId="11" borderId="96" xfId="0" applyFill="1" applyBorder="1" applyAlignment="1" applyProtection="1">
      <alignment horizontal="center"/>
    </xf>
    <xf numFmtId="0" fontId="1" fillId="3" borderId="38" xfId="0" applyFont="1" applyFill="1" applyBorder="1" applyAlignment="1" applyProtection="1">
      <alignment horizontal="left"/>
      <protection locked="0"/>
    </xf>
    <xf numFmtId="0" fontId="3" fillId="3" borderId="38" xfId="0" applyFont="1" applyFill="1" applyBorder="1" applyAlignment="1" applyProtection="1">
      <alignment horizontal="left"/>
      <protection locked="0"/>
    </xf>
    <xf numFmtId="0" fontId="3" fillId="3" borderId="94" xfId="0" applyFont="1" applyFill="1" applyBorder="1" applyAlignment="1" applyProtection="1">
      <alignment horizontal="left"/>
      <protection locked="0"/>
    </xf>
    <xf numFmtId="14" fontId="1" fillId="3" borderId="41" xfId="0" applyNumberFormat="1" applyFont="1" applyFill="1" applyBorder="1" applyAlignment="1" applyProtection="1">
      <alignment horizontal="left"/>
      <protection locked="0"/>
    </xf>
    <xf numFmtId="0" fontId="3" fillId="3" borderId="95" xfId="0" applyNumberFormat="1" applyFont="1" applyFill="1" applyBorder="1" applyAlignment="1" applyProtection="1">
      <alignment horizontal="left"/>
      <protection locked="0"/>
    </xf>
    <xf numFmtId="0" fontId="20" fillId="2" borderId="93" xfId="0" applyFont="1" applyFill="1" applyBorder="1" applyAlignment="1" applyProtection="1">
      <alignment horizontal="center"/>
    </xf>
    <xf numFmtId="0" fontId="20" fillId="2" borderId="26" xfId="0" applyFont="1" applyFill="1" applyBorder="1" applyAlignment="1" applyProtection="1">
      <alignment horizontal="center"/>
    </xf>
    <xf numFmtId="0" fontId="1" fillId="3" borderId="82" xfId="0" applyFont="1" applyFill="1" applyBorder="1" applyAlignment="1" applyProtection="1">
      <alignment horizontal="left"/>
      <protection locked="0"/>
    </xf>
    <xf numFmtId="0" fontId="3" fillId="3" borderId="45" xfId="0" applyFont="1" applyFill="1" applyBorder="1" applyAlignment="1" applyProtection="1">
      <alignment horizontal="left"/>
      <protection locked="0"/>
    </xf>
    <xf numFmtId="0" fontId="3" fillId="3" borderId="83" xfId="0" applyFont="1" applyFill="1" applyBorder="1" applyAlignment="1" applyProtection="1">
      <alignment horizontal="left"/>
      <protection locked="0"/>
    </xf>
    <xf numFmtId="0" fontId="1" fillId="3" borderId="79" xfId="0" applyFont="1" applyFill="1" applyBorder="1" applyAlignment="1" applyProtection="1">
      <alignment horizontal="left"/>
      <protection locked="0"/>
    </xf>
    <xf numFmtId="0" fontId="3" fillId="3" borderId="44" xfId="0" applyFont="1" applyFill="1" applyBorder="1" applyAlignment="1" applyProtection="1">
      <alignment horizontal="left"/>
      <protection locked="0"/>
    </xf>
    <xf numFmtId="0" fontId="3" fillId="3" borderId="80" xfId="0" applyFont="1" applyFill="1" applyBorder="1" applyAlignment="1" applyProtection="1">
      <alignment horizontal="left"/>
      <protection locked="0"/>
    </xf>
    <xf numFmtId="0" fontId="0" fillId="11" borderId="72" xfId="0" applyFill="1" applyBorder="1" applyAlignment="1" applyProtection="1">
      <alignment horizontal="center" vertical="center" textRotation="90" wrapText="1"/>
    </xf>
    <xf numFmtId="0" fontId="0" fillId="11" borderId="73" xfId="0" applyFill="1" applyBorder="1" applyAlignment="1" applyProtection="1">
      <alignment horizontal="center" vertical="center" textRotation="90" wrapText="1"/>
    </xf>
    <xf numFmtId="0" fontId="0" fillId="11" borderId="74" xfId="0" applyFill="1" applyBorder="1" applyAlignment="1" applyProtection="1">
      <alignment horizontal="center" vertical="center" textRotation="90" wrapText="1"/>
    </xf>
    <xf numFmtId="49" fontId="6" fillId="2" borderId="52" xfId="0" applyNumberFormat="1" applyFont="1" applyFill="1" applyBorder="1" applyAlignment="1" applyProtection="1">
      <alignment horizontal="center" vertical="center"/>
    </xf>
    <xf numFmtId="49" fontId="6" fillId="2" borderId="54" xfId="0" applyNumberFormat="1" applyFont="1" applyFill="1" applyBorder="1" applyAlignment="1" applyProtection="1">
      <alignment horizontal="center" vertical="center"/>
    </xf>
    <xf numFmtId="0" fontId="6" fillId="11" borderId="75" xfId="0" applyFont="1" applyFill="1" applyBorder="1" applyAlignment="1" applyProtection="1">
      <alignment horizontal="center" vertical="center" wrapText="1"/>
    </xf>
    <xf numFmtId="0" fontId="6" fillId="11" borderId="76" xfId="0" applyFont="1" applyFill="1" applyBorder="1" applyAlignment="1" applyProtection="1">
      <alignment horizontal="center" vertical="center" wrapText="1"/>
    </xf>
    <xf numFmtId="0" fontId="6" fillId="11" borderId="81" xfId="0" applyFont="1" applyFill="1" applyBorder="1" applyAlignment="1" applyProtection="1">
      <alignment horizontal="center" vertical="center" wrapText="1"/>
    </xf>
    <xf numFmtId="0" fontId="6" fillId="11" borderId="96" xfId="0" applyFont="1" applyFill="1" applyBorder="1" applyAlignment="1" applyProtection="1">
      <alignment horizontal="center" vertical="center" wrapText="1"/>
    </xf>
    <xf numFmtId="49" fontId="6" fillId="2" borderId="52" xfId="0" quotePrefix="1" applyNumberFormat="1" applyFont="1" applyFill="1" applyBorder="1" applyAlignment="1" applyProtection="1">
      <alignment horizontal="center" vertical="center"/>
    </xf>
    <xf numFmtId="0" fontId="6" fillId="4" borderId="75" xfId="0" applyFont="1" applyFill="1" applyBorder="1" applyAlignment="1" applyProtection="1">
      <alignment horizontal="center" wrapText="1"/>
    </xf>
    <xf numFmtId="0" fontId="6" fillId="4" borderId="76" xfId="0" applyFont="1" applyFill="1" applyBorder="1" applyAlignment="1" applyProtection="1">
      <alignment horizontal="center" wrapText="1"/>
    </xf>
    <xf numFmtId="0" fontId="7" fillId="4" borderId="75" xfId="0" applyFont="1" applyFill="1" applyBorder="1" applyAlignment="1" applyProtection="1">
      <alignment horizontal="center" wrapText="1"/>
    </xf>
    <xf numFmtId="0" fontId="7" fillId="4" borderId="76" xfId="0" applyFont="1" applyFill="1" applyBorder="1" applyAlignment="1" applyProtection="1">
      <alignment horizontal="center" wrapText="1"/>
    </xf>
    <xf numFmtId="0" fontId="6" fillId="4" borderId="81" xfId="0" applyFont="1" applyFill="1" applyBorder="1" applyAlignment="1" applyProtection="1">
      <alignment horizontal="center" wrapText="1"/>
    </xf>
    <xf numFmtId="0" fontId="6" fillId="4" borderId="14" xfId="0" applyFont="1" applyFill="1" applyBorder="1" applyAlignment="1" applyProtection="1">
      <alignment horizontal="center" wrapText="1"/>
    </xf>
    <xf numFmtId="0" fontId="6" fillId="4" borderId="30" xfId="0" applyFont="1" applyFill="1" applyBorder="1" applyAlignment="1" applyProtection="1">
      <alignment horizontal="center" wrapText="1"/>
    </xf>
    <xf numFmtId="0" fontId="0" fillId="4" borderId="75" xfId="0" applyFill="1" applyBorder="1" applyAlignment="1" applyProtection="1">
      <alignment horizontal="center"/>
    </xf>
    <xf numFmtId="0" fontId="0" fillId="4" borderId="81" xfId="0" applyFill="1" applyBorder="1" applyAlignment="1" applyProtection="1">
      <alignment horizontal="center"/>
    </xf>
    <xf numFmtId="0" fontId="0" fillId="4" borderId="76" xfId="0" applyFill="1" applyBorder="1" applyAlignment="1" applyProtection="1">
      <alignment horizontal="center"/>
    </xf>
    <xf numFmtId="0" fontId="5" fillId="4" borderId="39" xfId="0" applyFont="1" applyFill="1" applyBorder="1" applyAlignment="1" applyProtection="1">
      <alignment horizontal="center" vertical="center" wrapText="1"/>
    </xf>
    <xf numFmtId="0" fontId="5" fillId="4" borderId="85" xfId="0" applyFont="1" applyFill="1" applyBorder="1" applyAlignment="1" applyProtection="1">
      <alignment horizontal="center" vertical="center" wrapText="1"/>
    </xf>
    <xf numFmtId="0" fontId="5" fillId="7" borderId="4" xfId="0" applyFont="1" applyFill="1" applyBorder="1" applyAlignment="1" applyProtection="1">
      <alignment horizontal="center" vertical="center" wrapText="1"/>
    </xf>
    <xf numFmtId="0" fontId="5" fillId="7" borderId="0" xfId="0" applyFont="1" applyFill="1" applyBorder="1" applyAlignment="1" applyProtection="1">
      <alignment horizontal="center" vertical="center" wrapText="1"/>
    </xf>
    <xf numFmtId="0" fontId="6" fillId="4" borderId="39" xfId="0" applyFont="1" applyFill="1" applyBorder="1" applyAlignment="1" applyProtection="1">
      <alignment horizontal="center" vertical="center" wrapText="1"/>
    </xf>
    <xf numFmtId="0" fontId="6" fillId="4" borderId="85" xfId="0" applyFont="1" applyFill="1" applyBorder="1" applyAlignment="1" applyProtection="1">
      <alignment horizontal="center" vertical="center" wrapText="1"/>
    </xf>
    <xf numFmtId="0" fontId="5" fillId="7" borderId="39" xfId="0" applyFont="1" applyFill="1" applyBorder="1" applyAlignment="1" applyProtection="1">
      <alignment horizontal="center" vertical="center" wrapText="1"/>
    </xf>
    <xf numFmtId="0" fontId="5" fillId="7" borderId="85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3" fillId="7" borderId="7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center"/>
    </xf>
    <xf numFmtId="0" fontId="0" fillId="4" borderId="72" xfId="0" applyFill="1" applyBorder="1" applyAlignment="1" applyProtection="1">
      <alignment horizontal="center" textRotation="90"/>
    </xf>
    <xf numFmtId="0" fontId="0" fillId="4" borderId="73" xfId="0" applyFill="1" applyBorder="1" applyAlignment="1" applyProtection="1">
      <alignment horizontal="center" textRotation="90"/>
    </xf>
    <xf numFmtId="0" fontId="0" fillId="4" borderId="74" xfId="0" applyFill="1" applyBorder="1" applyAlignment="1" applyProtection="1">
      <alignment horizontal="center" textRotation="90"/>
    </xf>
    <xf numFmtId="0" fontId="0" fillId="4" borderId="71" xfId="0" applyFill="1" applyBorder="1" applyAlignment="1" applyProtection="1">
      <alignment horizontal="center" textRotation="90"/>
    </xf>
    <xf numFmtId="0" fontId="0" fillId="4" borderId="68" xfId="0" applyFill="1" applyBorder="1" applyAlignment="1" applyProtection="1">
      <alignment horizontal="center" textRotation="90"/>
    </xf>
    <xf numFmtId="0" fontId="0" fillId="4" borderId="72" xfId="0" applyFill="1" applyBorder="1" applyAlignment="1" applyProtection="1">
      <alignment horizontal="center" vertical="center" textRotation="90" wrapText="1"/>
    </xf>
    <xf numFmtId="0" fontId="0" fillId="4" borderId="73" xfId="0" applyFill="1" applyBorder="1" applyAlignment="1" applyProtection="1">
      <alignment horizontal="center" vertical="center" textRotation="90" wrapText="1"/>
    </xf>
    <xf numFmtId="0" fontId="0" fillId="4" borderId="74" xfId="0" applyFill="1" applyBorder="1" applyAlignment="1" applyProtection="1">
      <alignment horizontal="center" vertical="center" textRotation="90" wrapText="1"/>
    </xf>
    <xf numFmtId="0" fontId="3" fillId="4" borderId="39" xfId="0" applyFont="1" applyFill="1" applyBorder="1" applyAlignment="1" applyProtection="1">
      <alignment horizontal="center" vertical="center" wrapText="1"/>
    </xf>
    <xf numFmtId="0" fontId="3" fillId="4" borderId="85" xfId="0" applyFont="1" applyFill="1" applyBorder="1" applyAlignment="1" applyProtection="1">
      <alignment horizontal="center" vertical="center" wrapText="1"/>
    </xf>
    <xf numFmtId="0" fontId="6" fillId="4" borderId="75" xfId="0" applyFont="1" applyFill="1" applyBorder="1" applyAlignment="1" applyProtection="1">
      <alignment horizontal="center" vertical="center" wrapText="1"/>
    </xf>
    <xf numFmtId="0" fontId="6" fillId="4" borderId="76" xfId="0" applyFont="1" applyFill="1" applyBorder="1" applyAlignment="1" applyProtection="1">
      <alignment horizontal="center" vertical="center" wrapText="1"/>
    </xf>
    <xf numFmtId="0" fontId="3" fillId="6" borderId="82" xfId="0" applyFont="1" applyFill="1" applyBorder="1" applyAlignment="1" applyProtection="1">
      <alignment horizontal="left"/>
      <protection locked="0"/>
    </xf>
    <xf numFmtId="0" fontId="3" fillId="6" borderId="45" xfId="0" applyFont="1" applyFill="1" applyBorder="1" applyAlignment="1" applyProtection="1">
      <alignment horizontal="left"/>
      <protection locked="0"/>
    </xf>
    <xf numFmtId="0" fontId="3" fillId="6" borderId="83" xfId="0" applyFont="1" applyFill="1" applyBorder="1" applyAlignment="1" applyProtection="1">
      <alignment horizontal="left"/>
      <protection locked="0"/>
    </xf>
    <xf numFmtId="0" fontId="3" fillId="6" borderId="41" xfId="0" applyFont="1" applyFill="1" applyBorder="1" applyAlignment="1" applyProtection="1">
      <alignment horizontal="left"/>
      <protection locked="0"/>
    </xf>
    <xf numFmtId="0" fontId="3" fillId="6" borderId="38" xfId="0" applyFont="1" applyFill="1" applyBorder="1" applyAlignment="1" applyProtection="1">
      <alignment horizontal="left"/>
      <protection locked="0"/>
    </xf>
    <xf numFmtId="0" fontId="3" fillId="6" borderId="79" xfId="0" applyFont="1" applyFill="1" applyBorder="1" applyAlignment="1" applyProtection="1">
      <alignment horizontal="left"/>
      <protection locked="0"/>
    </xf>
    <xf numFmtId="0" fontId="3" fillId="6" borderId="44" xfId="0" applyFont="1" applyFill="1" applyBorder="1" applyAlignment="1" applyProtection="1">
      <alignment horizontal="left"/>
      <protection locked="0"/>
    </xf>
    <xf numFmtId="0" fontId="3" fillId="6" borderId="80" xfId="0" applyFont="1" applyFill="1" applyBorder="1" applyAlignment="1" applyProtection="1">
      <alignment horizontal="left"/>
      <protection locked="0"/>
    </xf>
    <xf numFmtId="0" fontId="3" fillId="6" borderId="84" xfId="0" applyFont="1" applyFill="1" applyBorder="1" applyAlignment="1" applyProtection="1">
      <alignment horizontal="left"/>
      <protection locked="0"/>
    </xf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7" fillId="2" borderId="50" xfId="0" applyFont="1" applyFill="1" applyBorder="1" applyAlignment="1" applyProtection="1">
      <alignment horizontal="center" wrapText="1"/>
    </xf>
    <xf numFmtId="0" fontId="7" fillId="2" borderId="37" xfId="0" applyFont="1" applyFill="1" applyBorder="1" applyAlignment="1" applyProtection="1">
      <alignment horizontal="center" wrapText="1"/>
    </xf>
    <xf numFmtId="0" fontId="7" fillId="2" borderId="33" xfId="0" applyFont="1" applyFill="1" applyBorder="1" applyAlignment="1" applyProtection="1">
      <alignment horizontal="center"/>
    </xf>
    <xf numFmtId="0" fontId="7" fillId="2" borderId="49" xfId="0" applyFont="1" applyFill="1" applyBorder="1" applyAlignment="1" applyProtection="1">
      <alignment horizontal="center"/>
    </xf>
    <xf numFmtId="0" fontId="7" fillId="2" borderId="33" xfId="0" applyFont="1" applyFill="1" applyBorder="1" applyAlignment="1" applyProtection="1">
      <alignment horizontal="center" wrapText="1"/>
    </xf>
    <xf numFmtId="0" fontId="7" fillId="2" borderId="49" xfId="0" applyFont="1" applyFill="1" applyBorder="1" applyAlignment="1" applyProtection="1">
      <alignment horizontal="center" wrapText="1"/>
    </xf>
    <xf numFmtId="0" fontId="7" fillId="2" borderId="34" xfId="0" applyFont="1" applyFill="1" applyBorder="1" applyAlignment="1" applyProtection="1">
      <alignment horizontal="center" wrapText="1"/>
    </xf>
    <xf numFmtId="0" fontId="2" fillId="2" borderId="0" xfId="0" applyFont="1" applyFill="1" applyAlignment="1">
      <alignment horizontal="left"/>
    </xf>
    <xf numFmtId="0" fontId="6" fillId="2" borderId="30" xfId="0" applyFont="1" applyFill="1" applyBorder="1" applyAlignment="1" applyProtection="1">
      <alignment horizontal="center" wrapText="1"/>
    </xf>
    <xf numFmtId="0" fontId="6" fillId="2" borderId="29" xfId="0" applyFont="1" applyFill="1" applyBorder="1" applyAlignment="1" applyProtection="1">
      <alignment horizontal="center" wrapText="1"/>
    </xf>
    <xf numFmtId="0" fontId="7" fillId="2" borderId="36" xfId="0" applyFont="1" applyFill="1" applyBorder="1" applyAlignment="1" applyProtection="1">
      <alignment horizontal="center" wrapText="1"/>
    </xf>
    <xf numFmtId="0" fontId="3" fillId="7" borderId="86" xfId="0" applyFont="1" applyFill="1" applyBorder="1" applyAlignment="1" applyProtection="1">
      <alignment horizontal="center"/>
    </xf>
    <xf numFmtId="0" fontId="3" fillId="7" borderId="38" xfId="0" applyFont="1" applyFill="1" applyBorder="1" applyAlignment="1" applyProtection="1">
      <alignment horizontal="center"/>
    </xf>
    <xf numFmtId="0" fontId="2" fillId="2" borderId="75" xfId="0" applyFont="1" applyFill="1" applyBorder="1" applyAlignment="1" applyProtection="1">
      <alignment horizontal="center"/>
    </xf>
    <xf numFmtId="0" fontId="2" fillId="2" borderId="81" xfId="0" applyFont="1" applyFill="1" applyBorder="1" applyAlignment="1" applyProtection="1">
      <alignment horizontal="center"/>
    </xf>
    <xf numFmtId="0" fontId="2" fillId="2" borderId="76" xfId="0" applyFont="1" applyFill="1" applyBorder="1" applyAlignment="1" applyProtection="1">
      <alignment horizontal="center"/>
    </xf>
    <xf numFmtId="0" fontId="6" fillId="2" borderId="33" xfId="0" applyFont="1" applyFill="1" applyBorder="1" applyAlignment="1" applyProtection="1">
      <alignment horizontal="center"/>
    </xf>
    <xf numFmtId="0" fontId="6" fillId="2" borderId="49" xfId="0" applyFont="1" applyFill="1" applyBorder="1" applyAlignment="1" applyProtection="1">
      <alignment horizont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87" xfId="0" applyFont="1" applyFill="1" applyBorder="1" applyAlignment="1">
      <alignment horizontal="center" vertical="center" wrapText="1"/>
    </xf>
    <xf numFmtId="0" fontId="2" fillId="0" borderId="88" xfId="0" applyFont="1" applyFill="1" applyBorder="1" applyAlignment="1">
      <alignment horizontal="center" vertical="center" wrapText="1"/>
    </xf>
    <xf numFmtId="0" fontId="2" fillId="0" borderId="89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19" fillId="2" borderId="32" xfId="0" applyFont="1" applyFill="1" applyBorder="1" applyAlignment="1">
      <alignment horizontal="center"/>
    </xf>
    <xf numFmtId="0" fontId="19" fillId="2" borderId="35" xfId="0" applyFont="1" applyFill="1" applyBorder="1" applyAlignment="1">
      <alignment horizontal="center"/>
    </xf>
    <xf numFmtId="0" fontId="20" fillId="2" borderId="32" xfId="0" applyFont="1" applyFill="1" applyBorder="1" applyAlignment="1">
      <alignment horizontal="center"/>
    </xf>
    <xf numFmtId="0" fontId="20" fillId="2" borderId="35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7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</cellXfs>
  <cellStyles count="3">
    <cellStyle name="Normal" xfId="0" builtinId="0"/>
    <cellStyle name="Porcentagem" xfId="1" builtinId="5"/>
    <cellStyle name="Vírgula" xfId="2" builtinId="3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6" Type="http://schemas.openxmlformats.org/officeDocument/2006/relationships/image" Target="../media/image10.wmf"/><Relationship Id="rId5" Type="http://schemas.openxmlformats.org/officeDocument/2006/relationships/image" Target="../media/image9.wmf"/><Relationship Id="rId4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15</xdr:row>
      <xdr:rowOff>95250</xdr:rowOff>
    </xdr:from>
    <xdr:to>
      <xdr:col>13</xdr:col>
      <xdr:colOff>542925</xdr:colOff>
      <xdr:row>39</xdr:row>
      <xdr:rowOff>152400</xdr:rowOff>
    </xdr:to>
    <xdr:sp macro="" textlink="">
      <xdr:nvSpPr>
        <xdr:cNvPr id="12337" name="Oval 16"/>
        <xdr:cNvSpPr>
          <a:spLocks noChangeArrowheads="1"/>
        </xdr:cNvSpPr>
      </xdr:nvSpPr>
      <xdr:spPr bwMode="auto">
        <a:xfrm>
          <a:off x="6229350" y="2667000"/>
          <a:ext cx="2238375" cy="3943350"/>
        </a:xfrm>
        <a:prstGeom prst="ellipse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114300</xdr:colOff>
      <xdr:row>15</xdr:row>
      <xdr:rowOff>47625</xdr:rowOff>
    </xdr:from>
    <xdr:to>
      <xdr:col>6</xdr:col>
      <xdr:colOff>523875</xdr:colOff>
      <xdr:row>39</xdr:row>
      <xdr:rowOff>104775</xdr:rowOff>
    </xdr:to>
    <xdr:sp macro="" textlink="">
      <xdr:nvSpPr>
        <xdr:cNvPr id="12338" name="Oval 15"/>
        <xdr:cNvSpPr>
          <a:spLocks noChangeArrowheads="1"/>
        </xdr:cNvSpPr>
      </xdr:nvSpPr>
      <xdr:spPr bwMode="auto">
        <a:xfrm>
          <a:off x="1943100" y="2619375"/>
          <a:ext cx="2238375" cy="3943350"/>
        </a:xfrm>
        <a:prstGeom prst="ellipse">
          <a:avLst/>
        </a:prstGeom>
        <a:gradFill rotWithShape="0">
          <a:gsLst>
            <a:gs pos="0">
              <a:srgbClr xmlns:mc="http://schemas.openxmlformats.org/markup-compatibility/2006" xmlns:a14="http://schemas.microsoft.com/office/drawing/2010/main" val="C0C0C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2700000" scaled="1"/>
        </a:gra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3</xdr:col>
      <xdr:colOff>371475</xdr:colOff>
      <xdr:row>18</xdr:row>
      <xdr:rowOff>66675</xdr:rowOff>
    </xdr:from>
    <xdr:to>
      <xdr:col>6</xdr:col>
      <xdr:colOff>247650</xdr:colOff>
      <xdr:row>38</xdr:row>
      <xdr:rowOff>142875</xdr:rowOff>
    </xdr:to>
    <xdr:pic>
      <xdr:nvPicPr>
        <xdr:cNvPr id="1234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3124200"/>
          <a:ext cx="1704975" cy="331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428625</xdr:colOff>
      <xdr:row>19</xdr:row>
      <xdr:rowOff>133350</xdr:rowOff>
    </xdr:from>
    <xdr:to>
      <xdr:col>13</xdr:col>
      <xdr:colOff>266700</xdr:colOff>
      <xdr:row>37</xdr:row>
      <xdr:rowOff>85725</xdr:rowOff>
    </xdr:to>
    <xdr:pic>
      <xdr:nvPicPr>
        <xdr:cNvPr id="1234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3240" y="3650273"/>
          <a:ext cx="1684460" cy="285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154382</xdr:colOff>
      <xdr:row>1</xdr:row>
      <xdr:rowOff>117963</xdr:rowOff>
    </xdr:from>
    <xdr:to>
      <xdr:col>2</xdr:col>
      <xdr:colOff>328985</xdr:colOff>
      <xdr:row>5</xdr:row>
      <xdr:rowOff>161191</xdr:rowOff>
    </xdr:to>
    <xdr:pic>
      <xdr:nvPicPr>
        <xdr:cNvPr id="10" name="Imagem 9" descr="Descrição: Descrição: Descrição: Descrição: cid:image001.png@01CF46AD.0F5048C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82" y="264501"/>
          <a:ext cx="1405526" cy="893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6</xdr:row>
      <xdr:rowOff>158002</xdr:rowOff>
    </xdr:from>
    <xdr:to>
      <xdr:col>14</xdr:col>
      <xdr:colOff>534644</xdr:colOff>
      <xdr:row>22</xdr:row>
      <xdr:rowOff>48181</xdr:rowOff>
    </xdr:to>
    <xdr:pic>
      <xdr:nvPicPr>
        <xdr:cNvPr id="2" name="Imagem 1" descr="Recorte de Te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1129552"/>
          <a:ext cx="5668619" cy="30524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12700</xdr:rowOff>
    </xdr:from>
    <xdr:to>
      <xdr:col>3</xdr:col>
      <xdr:colOff>167787</xdr:colOff>
      <xdr:row>5</xdr:row>
      <xdr:rowOff>32238</xdr:rowOff>
    </xdr:to>
    <xdr:pic>
      <xdr:nvPicPr>
        <xdr:cNvPr id="4" name="Imagem 3" descr="Descrição: Descrição: Descrição: Descrição: cid:image001.png@01CF46AD.0F5048C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52400"/>
          <a:ext cx="1120287" cy="794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342900</xdr:colOff>
          <xdr:row>2</xdr:row>
          <xdr:rowOff>127000</xdr:rowOff>
        </xdr:from>
        <xdr:to>
          <xdr:col>24</xdr:col>
          <xdr:colOff>1028700</xdr:colOff>
          <xdr:row>4</xdr:row>
          <xdr:rowOff>95250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0000" tIns="54000" rIns="90000" bIns="5400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134470</xdr:colOff>
      <xdr:row>1</xdr:row>
      <xdr:rowOff>56029</xdr:rowOff>
    </xdr:from>
    <xdr:to>
      <xdr:col>3</xdr:col>
      <xdr:colOff>795619</xdr:colOff>
      <xdr:row>4</xdr:row>
      <xdr:rowOff>112058</xdr:rowOff>
    </xdr:to>
    <xdr:pic>
      <xdr:nvPicPr>
        <xdr:cNvPr id="5" name="Imagem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588" y="280147"/>
          <a:ext cx="1826560" cy="627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76200</xdr:rowOff>
    </xdr:from>
    <xdr:to>
      <xdr:col>3</xdr:col>
      <xdr:colOff>155087</xdr:colOff>
      <xdr:row>5</xdr:row>
      <xdr:rowOff>184638</xdr:rowOff>
    </xdr:to>
    <xdr:pic>
      <xdr:nvPicPr>
        <xdr:cNvPr id="4" name="Imagem 3" descr="Descrição: Descrição: Descrição: Descrição: cid:image001.png@01CF46AD.0F5048C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215900"/>
          <a:ext cx="1209187" cy="845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125072</xdr:colOff>
      <xdr:row>1</xdr:row>
      <xdr:rowOff>13047</xdr:rowOff>
    </xdr:from>
    <xdr:to>
      <xdr:col>2</xdr:col>
      <xdr:colOff>530695</xdr:colOff>
      <xdr:row>4</xdr:row>
      <xdr:rowOff>205688</xdr:rowOff>
    </xdr:to>
    <xdr:pic>
      <xdr:nvPicPr>
        <xdr:cNvPr id="5" name="Imagem 4" descr="Descrição: Descrição: Descrição: Descrição: cid:image001.png@01CF46AD.0F5048C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72" y="156574"/>
          <a:ext cx="1097164" cy="766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156843</xdr:colOff>
      <xdr:row>1</xdr:row>
      <xdr:rowOff>32843</xdr:rowOff>
    </xdr:from>
    <xdr:to>
      <xdr:col>1</xdr:col>
      <xdr:colOff>486602</xdr:colOff>
      <xdr:row>4</xdr:row>
      <xdr:rowOff>111502</xdr:rowOff>
    </xdr:to>
    <xdr:pic>
      <xdr:nvPicPr>
        <xdr:cNvPr id="4" name="Imagem 3" descr="Descrição: Descrição: Descrição: Descrição: cid:image001.png@01CF46AD.0F5048C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3" y="175171"/>
          <a:ext cx="942862" cy="658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9</xdr:row>
      <xdr:rowOff>342900</xdr:rowOff>
    </xdr:from>
    <xdr:to>
      <xdr:col>1</xdr:col>
      <xdr:colOff>1066800</xdr:colOff>
      <xdr:row>10</xdr:row>
      <xdr:rowOff>95250</xdr:rowOff>
    </xdr:to>
    <xdr:sp macro="" textlink="">
      <xdr:nvSpPr>
        <xdr:cNvPr id="15363" name="Text Box 3"/>
        <xdr:cNvSpPr txBox="1">
          <a:spLocks noChangeArrowheads="1"/>
        </xdr:cNvSpPr>
      </xdr:nvSpPr>
      <xdr:spPr bwMode="auto">
        <a:xfrm>
          <a:off x="1847850" y="1857375"/>
          <a:ext cx="20955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pt-BR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0</xdr:col>
      <xdr:colOff>109482</xdr:colOff>
      <xdr:row>0</xdr:row>
      <xdr:rowOff>127829</xdr:rowOff>
    </xdr:from>
    <xdr:to>
      <xdr:col>1</xdr:col>
      <xdr:colOff>103411</xdr:colOff>
      <xdr:row>4</xdr:row>
      <xdr:rowOff>89607</xdr:rowOff>
    </xdr:to>
    <xdr:pic>
      <xdr:nvPicPr>
        <xdr:cNvPr id="5" name="Imagem 4" descr="Descrição: Descrição: Descrição: Descrição: cid:image001.png@01CF46AD.0F5048C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2" y="127829"/>
          <a:ext cx="979274" cy="6843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4</xdr:row>
      <xdr:rowOff>133350</xdr:rowOff>
    </xdr:from>
    <xdr:to>
      <xdr:col>4</xdr:col>
      <xdr:colOff>457200</xdr:colOff>
      <xdr:row>15</xdr:row>
      <xdr:rowOff>47625</xdr:rowOff>
    </xdr:to>
    <xdr:pic>
      <xdr:nvPicPr>
        <xdr:cNvPr id="72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781050"/>
          <a:ext cx="2228850" cy="169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6</xdr:row>
      <xdr:rowOff>66675</xdr:rowOff>
    </xdr:from>
    <xdr:to>
      <xdr:col>9</xdr:col>
      <xdr:colOff>381000</xdr:colOff>
      <xdr:row>15</xdr:row>
      <xdr:rowOff>38100</xdr:rowOff>
    </xdr:to>
    <xdr:pic>
      <xdr:nvPicPr>
        <xdr:cNvPr id="72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38225"/>
          <a:ext cx="2209800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6</xdr:row>
      <xdr:rowOff>104775</xdr:rowOff>
    </xdr:from>
    <xdr:to>
      <xdr:col>12</xdr:col>
      <xdr:colOff>581025</xdr:colOff>
      <xdr:row>15</xdr:row>
      <xdr:rowOff>38100</xdr:rowOff>
    </xdr:to>
    <xdr:pic>
      <xdr:nvPicPr>
        <xdr:cNvPr id="7206" name="Picture 3"/>
        <xdr:cNvPicPr preferRelativeResize="0"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1076325"/>
          <a:ext cx="457200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123825</xdr:colOff>
      <xdr:row>27</xdr:row>
      <xdr:rowOff>114300</xdr:rowOff>
    </xdr:from>
    <xdr:to>
      <xdr:col>13</xdr:col>
      <xdr:colOff>114300</xdr:colOff>
      <xdr:row>36</xdr:row>
      <xdr:rowOff>47625</xdr:rowOff>
    </xdr:to>
    <xdr:pic>
      <xdr:nvPicPr>
        <xdr:cNvPr id="72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524375"/>
          <a:ext cx="6000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27</xdr:row>
      <xdr:rowOff>123825</xdr:rowOff>
    </xdr:from>
    <xdr:to>
      <xdr:col>8</xdr:col>
      <xdr:colOff>161925</xdr:colOff>
      <xdr:row>36</xdr:row>
      <xdr:rowOff>66675</xdr:rowOff>
    </xdr:to>
    <xdr:pic>
      <xdr:nvPicPr>
        <xdr:cNvPr id="7208" name="Picture 5"/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4533900"/>
          <a:ext cx="561975" cy="1428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219075</xdr:colOff>
      <xdr:row>27</xdr:row>
      <xdr:rowOff>104775</xdr:rowOff>
    </xdr:from>
    <xdr:to>
      <xdr:col>3</xdr:col>
      <xdr:colOff>209550</xdr:colOff>
      <xdr:row>36</xdr:row>
      <xdr:rowOff>57150</xdr:rowOff>
    </xdr:to>
    <xdr:pic>
      <xdr:nvPicPr>
        <xdr:cNvPr id="7209" name="Picture 6"/>
        <xdr:cNvPicPr>
          <a:picLocks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38275" y="4514850"/>
          <a:ext cx="600075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571500</xdr:colOff>
      <xdr:row>0</xdr:row>
      <xdr:rowOff>104775</xdr:rowOff>
    </xdr:from>
    <xdr:to>
      <xdr:col>10</xdr:col>
      <xdr:colOff>104775</xdr:colOff>
      <xdr:row>2</xdr:row>
      <xdr:rowOff>66675</xdr:rowOff>
    </xdr:to>
    <xdr:sp macro="" textlink="">
      <xdr:nvSpPr>
        <xdr:cNvPr id="7175" name="WordArt 7"/>
        <xdr:cNvSpPr>
          <a:spLocks noChangeArrowheads="1" noChangeShapeType="1" noTextEdit="1"/>
        </xdr:cNvSpPr>
      </xdr:nvSpPr>
      <xdr:spPr bwMode="auto">
        <a:xfrm>
          <a:off x="3619500" y="104775"/>
          <a:ext cx="2581275" cy="2857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1600" kern="10" spc="0">
              <a:ln>
                <a:noFill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0080" mc:Ignorable="a14" a14:legacySpreadsheetColorIndex="32"/>
                  </a:gs>
                  <a:gs pos="100000">
                    <a:srgbClr xmlns:mc="http://schemas.openxmlformats.org/markup-compatibility/2006" xmlns:a14="http://schemas.microsoft.com/office/drawing/2010/main" val="0000FF" mc:Ignorable="a14" a14:legacySpreadsheetColorIndex="39"/>
                  </a:gs>
                </a:gsLst>
                <a:path path="rect">
                  <a:fillToRect r="100000" b="100000"/>
                </a:path>
              </a:gra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Espaçamentos Equivalentes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</xdr:row>
      <xdr:rowOff>123825</xdr:rowOff>
    </xdr:from>
    <xdr:to>
      <xdr:col>8</xdr:col>
      <xdr:colOff>438150</xdr:colOff>
      <xdr:row>2</xdr:row>
      <xdr:rowOff>142875</xdr:rowOff>
    </xdr:to>
    <xdr:sp macro="" textlink="">
      <xdr:nvSpPr>
        <xdr:cNvPr id="6145" name="WordArt 1"/>
        <xdr:cNvSpPr>
          <a:spLocks noChangeArrowheads="1" noChangeShapeType="1" noTextEdit="1"/>
        </xdr:cNvSpPr>
      </xdr:nvSpPr>
      <xdr:spPr bwMode="auto">
        <a:xfrm>
          <a:off x="3895725" y="285750"/>
          <a:ext cx="1524000" cy="1809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pt-BR" sz="1600" kern="10" spc="0">
              <a:ln>
                <a:noFill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0080" mc:Ignorable="a14" a14:legacySpreadsheetColorIndex="32"/>
                  </a:gs>
                  <a:gs pos="100000">
                    <a:srgbClr xmlns:mc="http://schemas.openxmlformats.org/markup-compatibility/2006" xmlns:a14="http://schemas.microsoft.com/office/drawing/2010/main" val="0000FF" mc:Ignorable="a14" a14:legacySpreadsheetColorIndex="39"/>
                  </a:gs>
                </a:gsLst>
                <a:path path="rect">
                  <a:fillToRect r="100000" b="100000"/>
                </a:path>
              </a:gradFill>
              <a:effectLst>
                <a:outerShdw dist="35921" dir="2700000" algn="ctr" rotWithShape="0">
                  <a:srgbClr val="C0C0C0"/>
                </a:outerShdw>
              </a:effectLst>
              <a:latin typeface="Impact"/>
            </a:rPr>
            <a:t>Fórmulas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160000" mc:Ignorable="a14" a14:legacySpreadsheetColorIndex="22"/>
            </a:gs>
          </a:gsLst>
          <a:lin ang="2700000" scaled="1"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50000">
              <a:srgbClr val="FFFFFF"/>
            </a:gs>
            <a:gs pos="100000">
              <a:srgbClr xmlns:mc="http://schemas.openxmlformats.org/markup-compatibility/2006" xmlns:a14="http://schemas.microsoft.com/office/drawing/2010/main" val="160000" mc:Ignorable="a14" a14:legacySpreadsheetColorIndex="22"/>
            </a:gs>
          </a:gsLst>
          <a:lin ang="2700000" scaled="1"/>
        </a:gra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M43"/>
  <sheetViews>
    <sheetView showGridLines="0" view="pageBreakPreview" zoomScale="65" zoomScaleNormal="60" zoomScaleSheetLayoutView="65" workbookViewId="0"/>
  </sheetViews>
  <sheetFormatPr defaultColWidth="9.1796875" defaultRowHeight="12.5" x14ac:dyDescent="0.25"/>
  <cols>
    <col min="1" max="16384" width="9.1796875" style="121"/>
  </cols>
  <sheetData>
    <row r="1" spans="1:39" ht="11.25" customHeight="1" x14ac:dyDescent="0.5">
      <c r="A1" s="268"/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394"/>
      <c r="T1" s="394"/>
      <c r="U1" s="394"/>
      <c r="V1" s="394"/>
      <c r="W1" s="394"/>
      <c r="X1" s="394"/>
      <c r="Y1" s="394"/>
      <c r="Z1" s="394"/>
      <c r="AA1" s="394"/>
      <c r="AB1" s="394"/>
      <c r="AC1" s="394"/>
      <c r="AD1" s="394"/>
      <c r="AE1" s="394"/>
      <c r="AF1" s="394"/>
      <c r="AG1" s="394"/>
      <c r="AH1" s="394"/>
      <c r="AI1" s="394"/>
      <c r="AJ1" s="394"/>
      <c r="AK1" s="394"/>
      <c r="AL1" s="394"/>
      <c r="AM1" s="394"/>
    </row>
    <row r="2" spans="1:39" ht="18" x14ac:dyDescent="0.4">
      <c r="A2" s="505"/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407"/>
      <c r="S2" s="394"/>
      <c r="T2" s="394"/>
      <c r="U2" s="394"/>
      <c r="V2" s="394"/>
      <c r="W2" s="394"/>
      <c r="X2" s="394"/>
      <c r="Y2" s="394"/>
      <c r="Z2" s="394"/>
      <c r="AA2" s="394"/>
      <c r="AB2" s="394"/>
      <c r="AC2" s="394"/>
      <c r="AD2" s="394"/>
      <c r="AE2" s="394"/>
      <c r="AF2" s="394"/>
      <c r="AG2" s="394"/>
      <c r="AH2" s="394"/>
      <c r="AI2" s="394"/>
      <c r="AJ2" s="394"/>
      <c r="AK2" s="394"/>
      <c r="AL2" s="394"/>
      <c r="AM2" s="394"/>
    </row>
    <row r="3" spans="1:39" ht="23" x14ac:dyDescent="0.5">
      <c r="A3" s="504" t="s">
        <v>247</v>
      </c>
      <c r="B3" s="504"/>
      <c r="C3" s="504"/>
      <c r="D3" s="504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407"/>
      <c r="S3" s="394"/>
      <c r="T3" s="394"/>
      <c r="U3" s="394"/>
      <c r="V3" s="394"/>
      <c r="W3" s="394"/>
      <c r="X3" s="394"/>
      <c r="Y3" s="394"/>
      <c r="Z3" s="394"/>
      <c r="AA3" s="394"/>
      <c r="AB3" s="394"/>
      <c r="AC3" s="394"/>
      <c r="AD3" s="394"/>
      <c r="AE3" s="394"/>
      <c r="AF3" s="394"/>
      <c r="AG3" s="394"/>
      <c r="AH3" s="394"/>
      <c r="AI3" s="394"/>
      <c r="AJ3" s="394"/>
      <c r="AK3" s="394"/>
      <c r="AL3" s="394"/>
      <c r="AM3" s="394"/>
    </row>
    <row r="4" spans="1:39" x14ac:dyDescent="0.25">
      <c r="S4" s="394"/>
      <c r="T4" s="394"/>
      <c r="U4" s="394"/>
      <c r="V4" s="394"/>
      <c r="W4" s="394"/>
      <c r="X4" s="394"/>
      <c r="Y4" s="394"/>
      <c r="Z4" s="394"/>
      <c r="AA4" s="394"/>
      <c r="AB4" s="394"/>
      <c r="AC4" s="394"/>
      <c r="AD4" s="394"/>
      <c r="AE4" s="394"/>
      <c r="AF4" s="394"/>
      <c r="AG4" s="394"/>
      <c r="AH4" s="394"/>
      <c r="AI4" s="394"/>
      <c r="AJ4" s="394"/>
      <c r="AK4" s="394"/>
      <c r="AL4" s="394"/>
      <c r="AM4" s="394"/>
    </row>
    <row r="5" spans="1:39" x14ac:dyDescent="0.25">
      <c r="S5" s="394"/>
      <c r="T5" s="394"/>
      <c r="U5" s="394"/>
      <c r="V5" s="394"/>
      <c r="W5" s="395"/>
      <c r="X5" s="395"/>
      <c r="Y5" s="395"/>
      <c r="Z5" s="394"/>
      <c r="AA5" s="394"/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/>
      <c r="AM5" s="394"/>
    </row>
    <row r="6" spans="1:39" ht="23" x14ac:dyDescent="0.5">
      <c r="A6" s="504" t="s">
        <v>246</v>
      </c>
      <c r="B6" s="504"/>
      <c r="C6" s="504"/>
      <c r="D6" s="504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S6" s="394"/>
      <c r="T6" s="394"/>
      <c r="U6" s="394"/>
      <c r="V6" s="394"/>
      <c r="W6" s="395"/>
      <c r="X6" s="395"/>
      <c r="Y6" s="395"/>
      <c r="Z6" s="394"/>
      <c r="AA6" s="394"/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/>
      <c r="AM6" s="394"/>
    </row>
    <row r="7" spans="1:39" x14ac:dyDescent="0.25">
      <c r="A7" s="368"/>
      <c r="B7" s="368"/>
      <c r="C7" s="369"/>
      <c r="D7" s="369"/>
      <c r="E7" s="368"/>
      <c r="F7" s="368"/>
      <c r="G7" s="370"/>
      <c r="H7" s="340"/>
      <c r="I7" s="370"/>
      <c r="J7" s="371"/>
      <c r="K7" s="371"/>
      <c r="L7" s="371"/>
      <c r="M7" s="371"/>
      <c r="N7" s="371"/>
      <c r="O7" s="371"/>
      <c r="P7" s="371"/>
      <c r="Q7" s="371"/>
      <c r="R7" s="371"/>
      <c r="S7" s="394"/>
      <c r="T7" s="394"/>
      <c r="U7" s="394"/>
      <c r="V7" s="394"/>
      <c r="W7" s="394"/>
      <c r="X7" s="394"/>
      <c r="Y7" s="394"/>
      <c r="Z7" s="394"/>
      <c r="AA7" s="394"/>
      <c r="AB7" s="394"/>
      <c r="AC7" s="394"/>
      <c r="AD7" s="394"/>
      <c r="AE7" s="394"/>
      <c r="AF7" s="394"/>
      <c r="AG7" s="394"/>
      <c r="AH7" s="394"/>
      <c r="AI7" s="394"/>
      <c r="AJ7" s="394"/>
      <c r="AK7" s="394"/>
      <c r="AL7" s="394"/>
      <c r="AM7" s="394"/>
    </row>
    <row r="8" spans="1:39" ht="13" x14ac:dyDescent="0.3">
      <c r="A8" s="372"/>
      <c r="B8" s="369"/>
      <c r="C8" s="369"/>
      <c r="D8" s="369"/>
      <c r="E8" s="369"/>
      <c r="F8" s="369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94"/>
      <c r="T8" s="394"/>
      <c r="U8" s="394"/>
      <c r="V8" s="394"/>
      <c r="W8" s="394"/>
      <c r="X8" s="394"/>
      <c r="Y8" s="394"/>
      <c r="Z8" s="394"/>
      <c r="AA8" s="394"/>
      <c r="AB8" s="394"/>
      <c r="AC8" s="394"/>
      <c r="AD8" s="394"/>
      <c r="AE8" s="394"/>
      <c r="AF8" s="394"/>
      <c r="AG8" s="394"/>
      <c r="AH8" s="394"/>
      <c r="AI8" s="394"/>
      <c r="AJ8" s="394"/>
      <c r="AK8" s="394"/>
      <c r="AL8" s="394"/>
      <c r="AM8" s="394"/>
    </row>
    <row r="9" spans="1:39" ht="23" x14ac:dyDescent="0.5">
      <c r="A9" s="504" t="s">
        <v>270</v>
      </c>
      <c r="B9" s="504"/>
      <c r="C9" s="504"/>
      <c r="D9" s="504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373"/>
      <c r="S9" s="394"/>
      <c r="T9" s="394"/>
      <c r="U9" s="394"/>
      <c r="V9" s="394"/>
      <c r="W9" s="394"/>
      <c r="X9" s="394"/>
      <c r="Y9" s="394"/>
      <c r="Z9" s="394"/>
      <c r="AA9" s="394"/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/>
      <c r="AM9" s="394"/>
    </row>
    <row r="10" spans="1:39" x14ac:dyDescent="0.25">
      <c r="A10" s="371"/>
      <c r="B10" s="371"/>
      <c r="C10" s="371"/>
      <c r="D10" s="371"/>
      <c r="E10" s="371"/>
      <c r="F10" s="371"/>
      <c r="G10" s="371"/>
      <c r="H10" s="371"/>
      <c r="I10" s="371"/>
      <c r="J10" s="371"/>
      <c r="K10" s="371"/>
      <c r="L10" s="371"/>
      <c r="M10" s="371"/>
      <c r="N10" s="371"/>
      <c r="O10" s="371"/>
      <c r="P10" s="371"/>
      <c r="Q10" s="371"/>
      <c r="R10" s="371"/>
      <c r="S10" s="394"/>
      <c r="T10" s="394"/>
      <c r="U10" s="394"/>
      <c r="V10" s="394"/>
      <c r="W10" s="394"/>
      <c r="X10" s="394"/>
      <c r="Y10" s="394"/>
      <c r="Z10" s="394"/>
      <c r="AA10" s="394"/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/>
      <c r="AM10" s="394"/>
    </row>
    <row r="11" spans="1:39" x14ac:dyDescent="0.25">
      <c r="R11" s="374"/>
      <c r="S11" s="394"/>
      <c r="T11" s="394"/>
      <c r="U11" s="394"/>
      <c r="V11" s="394"/>
      <c r="W11" s="394"/>
      <c r="X11" s="394"/>
      <c r="Y11" s="394"/>
      <c r="Z11" s="394"/>
      <c r="AA11" s="394"/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/>
      <c r="AM11" s="394"/>
    </row>
    <row r="12" spans="1:39" x14ac:dyDescent="0.25">
      <c r="A12" s="371"/>
      <c r="B12" s="371"/>
      <c r="C12" s="371"/>
      <c r="D12" s="371"/>
      <c r="E12" s="371"/>
      <c r="F12" s="375"/>
      <c r="G12" s="376"/>
      <c r="H12" s="376"/>
      <c r="I12" s="377"/>
      <c r="J12" s="377"/>
      <c r="K12" s="376"/>
      <c r="L12" s="376"/>
      <c r="M12" s="377"/>
      <c r="N12" s="377"/>
      <c r="O12" s="376"/>
      <c r="P12" s="376"/>
      <c r="Q12" s="377"/>
      <c r="R12" s="377"/>
      <c r="S12" s="394"/>
      <c r="T12" s="394"/>
      <c r="U12" s="394"/>
      <c r="V12" s="394"/>
      <c r="W12" s="394"/>
      <c r="X12" s="394"/>
      <c r="Y12" s="394"/>
      <c r="Z12" s="394"/>
      <c r="AA12" s="394"/>
      <c r="AB12" s="394"/>
      <c r="AC12" s="394"/>
      <c r="AD12" s="394"/>
      <c r="AE12" s="394"/>
      <c r="AF12" s="394"/>
      <c r="AG12" s="394"/>
      <c r="AH12" s="394"/>
      <c r="AI12" s="394"/>
      <c r="AJ12" s="394"/>
      <c r="AK12" s="394"/>
      <c r="AL12" s="394"/>
      <c r="AM12" s="394"/>
    </row>
    <row r="13" spans="1:39" x14ac:dyDescent="0.25">
      <c r="R13" s="371"/>
      <c r="S13" s="394"/>
      <c r="T13" s="394"/>
      <c r="U13" s="394"/>
      <c r="V13" s="394"/>
      <c r="W13" s="394"/>
      <c r="X13" s="394"/>
      <c r="Y13" s="394"/>
      <c r="Z13" s="394"/>
      <c r="AA13" s="394"/>
      <c r="AB13" s="394"/>
      <c r="AC13" s="394"/>
      <c r="AD13" s="394"/>
      <c r="AE13" s="394"/>
      <c r="AF13" s="394"/>
      <c r="AG13" s="394"/>
      <c r="AH13" s="394"/>
      <c r="AI13" s="394"/>
      <c r="AJ13" s="394"/>
      <c r="AK13" s="394"/>
      <c r="AL13" s="394"/>
      <c r="AM13" s="394"/>
    </row>
    <row r="14" spans="1:39" x14ac:dyDescent="0.25">
      <c r="A14" s="371"/>
      <c r="B14" s="371"/>
      <c r="C14" s="371"/>
      <c r="D14" s="371"/>
      <c r="E14" s="371"/>
      <c r="F14" s="377"/>
      <c r="G14" s="378"/>
      <c r="H14" s="378"/>
      <c r="I14" s="378"/>
      <c r="J14" s="371"/>
      <c r="K14" s="378"/>
      <c r="L14" s="378"/>
      <c r="M14" s="378"/>
      <c r="N14" s="371"/>
      <c r="O14" s="378"/>
      <c r="P14" s="378"/>
      <c r="Q14" s="378"/>
      <c r="R14" s="371"/>
      <c r="S14" s="394"/>
      <c r="T14" s="394"/>
      <c r="U14" s="394"/>
      <c r="V14" s="394"/>
      <c r="W14" s="394"/>
      <c r="X14" s="394"/>
      <c r="Y14" s="394"/>
      <c r="Z14" s="394"/>
      <c r="AA14" s="394"/>
      <c r="AB14" s="394"/>
      <c r="AC14" s="394"/>
      <c r="AD14" s="394"/>
      <c r="AE14" s="394"/>
      <c r="AF14" s="394"/>
      <c r="AG14" s="394"/>
      <c r="AH14" s="394"/>
      <c r="AI14" s="394"/>
      <c r="AJ14" s="394"/>
      <c r="AK14" s="394"/>
      <c r="AL14" s="394"/>
      <c r="AM14" s="394"/>
    </row>
    <row r="15" spans="1:39" x14ac:dyDescent="0.25">
      <c r="A15" s="371"/>
      <c r="B15" s="371"/>
      <c r="C15" s="371"/>
      <c r="D15" s="371"/>
      <c r="E15" s="371"/>
      <c r="F15" s="377"/>
      <c r="G15" s="378"/>
      <c r="H15" s="378"/>
      <c r="I15" s="378"/>
      <c r="J15" s="371"/>
      <c r="K15" s="378"/>
      <c r="L15" s="378"/>
      <c r="M15" s="378"/>
      <c r="N15" s="371"/>
      <c r="O15" s="378"/>
      <c r="P15" s="378"/>
      <c r="Q15" s="378"/>
      <c r="R15" s="371"/>
      <c r="S15" s="394"/>
      <c r="T15" s="394"/>
      <c r="U15" s="394"/>
      <c r="V15" s="394"/>
      <c r="W15" s="394"/>
      <c r="X15" s="394"/>
      <c r="Y15" s="394"/>
      <c r="Z15" s="394"/>
      <c r="AA15" s="394"/>
      <c r="AB15" s="394"/>
      <c r="AC15" s="394"/>
      <c r="AD15" s="394"/>
      <c r="AE15" s="394"/>
      <c r="AF15" s="394"/>
      <c r="AG15" s="394"/>
      <c r="AH15" s="394"/>
      <c r="AI15" s="394"/>
      <c r="AJ15" s="394"/>
      <c r="AK15" s="394"/>
      <c r="AL15" s="394"/>
      <c r="AM15" s="394"/>
    </row>
    <row r="16" spans="1:39" x14ac:dyDescent="0.25">
      <c r="A16" s="371"/>
      <c r="B16" s="371"/>
      <c r="C16" s="371"/>
      <c r="D16" s="371"/>
      <c r="E16" s="371"/>
      <c r="F16" s="377"/>
      <c r="G16" s="378"/>
      <c r="H16" s="378"/>
      <c r="I16" s="378"/>
      <c r="J16" s="371"/>
      <c r="K16" s="378"/>
      <c r="L16" s="378"/>
      <c r="M16" s="378"/>
      <c r="N16" s="371"/>
      <c r="O16" s="378"/>
      <c r="P16" s="378"/>
      <c r="Q16" s="378"/>
      <c r="R16" s="371"/>
      <c r="S16" s="394"/>
      <c r="T16" s="394"/>
      <c r="U16" s="394"/>
      <c r="V16" s="394"/>
      <c r="W16" s="394"/>
      <c r="X16" s="394"/>
      <c r="Y16" s="394"/>
      <c r="Z16" s="394"/>
      <c r="AA16" s="394"/>
      <c r="AB16" s="394"/>
      <c r="AC16" s="394"/>
      <c r="AD16" s="394"/>
      <c r="AE16" s="394"/>
      <c r="AF16" s="394"/>
      <c r="AG16" s="394"/>
      <c r="AH16" s="394"/>
      <c r="AI16" s="394"/>
      <c r="AJ16" s="394"/>
      <c r="AK16" s="394"/>
      <c r="AL16" s="394"/>
      <c r="AM16" s="394"/>
    </row>
    <row r="17" spans="1:39" x14ac:dyDescent="0.25">
      <c r="A17" s="371"/>
      <c r="B17" s="371"/>
      <c r="C17" s="371"/>
      <c r="D17" s="371"/>
      <c r="E17" s="371"/>
      <c r="F17" s="377"/>
      <c r="G17" s="378"/>
      <c r="H17" s="378"/>
      <c r="I17" s="378"/>
      <c r="J17" s="371"/>
      <c r="K17" s="378"/>
      <c r="L17" s="378"/>
      <c r="M17" s="378"/>
      <c r="N17" s="371"/>
      <c r="O17" s="378"/>
      <c r="P17" s="378"/>
      <c r="Q17" s="378"/>
      <c r="R17" s="371"/>
      <c r="S17" s="394"/>
      <c r="T17" s="394"/>
      <c r="U17" s="394"/>
      <c r="V17" s="394"/>
      <c r="W17" s="394"/>
      <c r="X17" s="394"/>
      <c r="Y17" s="394"/>
      <c r="Z17" s="394"/>
      <c r="AA17" s="394"/>
      <c r="AB17" s="394"/>
      <c r="AC17" s="394"/>
      <c r="AD17" s="394"/>
      <c r="AE17" s="394"/>
      <c r="AF17" s="394"/>
      <c r="AG17" s="394"/>
      <c r="AH17" s="394"/>
      <c r="AI17" s="394"/>
      <c r="AJ17" s="394"/>
      <c r="AK17" s="394"/>
      <c r="AL17" s="394"/>
      <c r="AM17" s="394"/>
    </row>
    <row r="18" spans="1:39" x14ac:dyDescent="0.25">
      <c r="A18" s="371"/>
      <c r="B18" s="371"/>
      <c r="C18" s="371"/>
      <c r="D18" s="371"/>
      <c r="E18" s="371"/>
      <c r="F18" s="377"/>
      <c r="G18" s="378"/>
      <c r="H18" s="378"/>
      <c r="I18" s="378"/>
      <c r="J18" s="371"/>
      <c r="K18" s="378"/>
      <c r="L18" s="378"/>
      <c r="M18" s="378"/>
      <c r="N18" s="371"/>
      <c r="O18" s="378"/>
      <c r="P18" s="378"/>
      <c r="Q18" s="378"/>
      <c r="R18" s="371"/>
      <c r="S18" s="394"/>
      <c r="T18" s="394"/>
      <c r="U18" s="394"/>
      <c r="V18" s="394"/>
      <c r="W18" s="394"/>
      <c r="X18" s="394"/>
      <c r="Y18" s="394"/>
      <c r="Z18" s="394"/>
      <c r="AA18" s="394"/>
      <c r="AB18" s="394"/>
      <c r="AC18" s="394"/>
      <c r="AD18" s="394"/>
      <c r="AE18" s="394"/>
      <c r="AF18" s="394"/>
      <c r="AG18" s="394"/>
      <c r="AH18" s="394"/>
      <c r="AI18" s="394"/>
      <c r="AJ18" s="394"/>
      <c r="AK18" s="394"/>
      <c r="AL18" s="394"/>
      <c r="AM18" s="394"/>
    </row>
    <row r="19" spans="1:39" x14ac:dyDescent="0.25">
      <c r="A19" s="371"/>
      <c r="B19" s="371"/>
      <c r="C19" s="371"/>
      <c r="D19" s="371"/>
      <c r="E19" s="371"/>
      <c r="F19" s="377"/>
      <c r="G19" s="378"/>
      <c r="H19" s="378"/>
      <c r="I19" s="378"/>
      <c r="J19" s="371"/>
      <c r="K19" s="378"/>
      <c r="L19" s="378"/>
      <c r="M19" s="378"/>
      <c r="N19" s="371"/>
      <c r="O19" s="378"/>
      <c r="P19" s="378"/>
      <c r="Q19" s="378"/>
      <c r="R19" s="371"/>
      <c r="S19" s="394"/>
      <c r="T19" s="394"/>
      <c r="U19" s="394"/>
      <c r="V19" s="394"/>
      <c r="W19" s="394"/>
      <c r="X19" s="394"/>
      <c r="Y19" s="394"/>
      <c r="Z19" s="394"/>
      <c r="AA19" s="394"/>
      <c r="AB19" s="394"/>
      <c r="AC19" s="394"/>
      <c r="AD19" s="394"/>
      <c r="AE19" s="394"/>
      <c r="AF19" s="394"/>
      <c r="AG19" s="394"/>
      <c r="AH19" s="394"/>
      <c r="AI19" s="394"/>
      <c r="AJ19" s="394"/>
      <c r="AK19" s="394"/>
      <c r="AL19" s="394"/>
      <c r="AM19" s="394"/>
    </row>
    <row r="20" spans="1:39" x14ac:dyDescent="0.25">
      <c r="A20" s="106"/>
      <c r="B20" s="106"/>
      <c r="C20" s="106"/>
      <c r="D20" s="371"/>
      <c r="E20" s="371"/>
      <c r="F20" s="377"/>
      <c r="G20" s="378"/>
      <c r="H20" s="378"/>
      <c r="I20" s="378"/>
      <c r="J20" s="371"/>
      <c r="K20" s="378"/>
      <c r="L20" s="378"/>
      <c r="M20" s="378"/>
      <c r="N20" s="371"/>
      <c r="O20" s="378"/>
      <c r="P20" s="378"/>
      <c r="Q20" s="378"/>
      <c r="R20" s="371"/>
      <c r="S20" s="394"/>
      <c r="T20" s="394"/>
      <c r="U20" s="394"/>
      <c r="V20" s="394"/>
      <c r="W20" s="394"/>
      <c r="X20" s="394"/>
      <c r="Y20" s="394"/>
      <c r="Z20" s="394"/>
      <c r="AA20" s="394"/>
      <c r="AB20" s="394"/>
      <c r="AC20" s="394"/>
      <c r="AD20" s="394"/>
      <c r="AE20" s="394"/>
      <c r="AF20" s="394"/>
      <c r="AG20" s="394"/>
      <c r="AH20" s="394"/>
      <c r="AI20" s="394"/>
      <c r="AJ20" s="394"/>
      <c r="AK20" s="394"/>
      <c r="AL20" s="394"/>
      <c r="AM20" s="394"/>
    </row>
    <row r="21" spans="1:39" x14ac:dyDescent="0.25">
      <c r="A21" s="106"/>
      <c r="B21" s="106"/>
      <c r="C21" s="106"/>
      <c r="D21" s="371"/>
      <c r="E21" s="371"/>
      <c r="F21" s="377"/>
      <c r="G21" s="378"/>
      <c r="H21" s="378"/>
      <c r="I21" s="378"/>
      <c r="J21" s="371"/>
      <c r="K21" s="378"/>
      <c r="L21" s="378"/>
      <c r="M21" s="378"/>
      <c r="N21" s="371"/>
      <c r="O21" s="378"/>
      <c r="P21" s="378"/>
      <c r="Q21" s="378"/>
      <c r="R21" s="371"/>
      <c r="S21" s="394"/>
      <c r="T21" s="394"/>
      <c r="U21" s="394"/>
      <c r="V21" s="394"/>
      <c r="W21" s="394"/>
      <c r="X21" s="394"/>
      <c r="Y21" s="394"/>
      <c r="Z21" s="394"/>
      <c r="AA21" s="394"/>
      <c r="AB21" s="394"/>
      <c r="AC21" s="394"/>
      <c r="AD21" s="394"/>
      <c r="AE21" s="394"/>
      <c r="AF21" s="394"/>
      <c r="AG21" s="394"/>
      <c r="AH21" s="394"/>
      <c r="AI21" s="394"/>
      <c r="AJ21" s="394"/>
      <c r="AK21" s="394"/>
      <c r="AL21" s="394"/>
      <c r="AM21" s="394"/>
    </row>
    <row r="22" spans="1:39" x14ac:dyDescent="0.25">
      <c r="A22" s="106"/>
      <c r="B22" s="106"/>
      <c r="C22" s="106"/>
      <c r="D22" s="371"/>
      <c r="E22" s="371"/>
      <c r="F22" s="377"/>
      <c r="G22" s="378"/>
      <c r="H22" s="378"/>
      <c r="I22" s="378"/>
      <c r="J22" s="371"/>
      <c r="K22" s="378"/>
      <c r="L22" s="378"/>
      <c r="M22" s="378"/>
      <c r="N22" s="371"/>
      <c r="O22" s="378"/>
      <c r="P22" s="378"/>
      <c r="Q22" s="378"/>
      <c r="R22" s="371"/>
      <c r="S22" s="394"/>
      <c r="T22" s="394"/>
      <c r="U22" s="394"/>
      <c r="V22" s="394"/>
      <c r="W22" s="394"/>
      <c r="X22" s="394"/>
      <c r="Y22" s="394"/>
      <c r="Z22" s="394"/>
      <c r="AA22" s="394"/>
      <c r="AB22" s="394"/>
      <c r="AC22" s="394"/>
      <c r="AD22" s="394"/>
      <c r="AE22" s="394"/>
      <c r="AF22" s="394"/>
      <c r="AG22" s="394"/>
      <c r="AH22" s="394"/>
      <c r="AI22" s="394"/>
      <c r="AJ22" s="394"/>
      <c r="AK22" s="394"/>
      <c r="AL22" s="394"/>
      <c r="AM22" s="394"/>
    </row>
    <row r="23" spans="1:39" x14ac:dyDescent="0.2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394"/>
      <c r="T23" s="394"/>
      <c r="U23" s="394"/>
      <c r="V23" s="394"/>
      <c r="W23" s="394"/>
      <c r="X23" s="394"/>
      <c r="Y23" s="394"/>
      <c r="Z23" s="394"/>
      <c r="AA23" s="394"/>
      <c r="AB23" s="394"/>
      <c r="AC23" s="394"/>
      <c r="AD23" s="394"/>
      <c r="AE23" s="394"/>
      <c r="AF23" s="394"/>
      <c r="AG23" s="394"/>
      <c r="AH23" s="394"/>
      <c r="AI23" s="394"/>
      <c r="AJ23" s="394"/>
      <c r="AK23" s="394"/>
      <c r="AL23" s="394"/>
      <c r="AM23" s="394"/>
    </row>
    <row r="24" spans="1:39" x14ac:dyDescent="0.2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394"/>
      <c r="T24" s="394"/>
      <c r="U24" s="394"/>
      <c r="V24" s="394"/>
      <c r="W24" s="394"/>
      <c r="X24" s="394"/>
      <c r="Y24" s="394"/>
      <c r="Z24" s="394"/>
      <c r="AA24" s="394"/>
      <c r="AB24" s="394"/>
      <c r="AC24" s="394"/>
      <c r="AD24" s="394"/>
      <c r="AE24" s="394"/>
      <c r="AF24" s="394"/>
      <c r="AG24" s="394"/>
      <c r="AH24" s="394"/>
      <c r="AI24" s="394"/>
      <c r="AJ24" s="394"/>
      <c r="AK24" s="394"/>
      <c r="AL24" s="394"/>
      <c r="AM24" s="394"/>
    </row>
    <row r="25" spans="1:39" x14ac:dyDescent="0.2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394"/>
      <c r="T25" s="394"/>
      <c r="U25" s="394"/>
      <c r="V25" s="394"/>
      <c r="W25" s="394"/>
      <c r="X25" s="394"/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4"/>
      <c r="AJ25" s="394"/>
      <c r="AK25" s="394"/>
      <c r="AL25" s="394"/>
      <c r="AM25" s="394"/>
    </row>
    <row r="26" spans="1:39" x14ac:dyDescent="0.2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394"/>
      <c r="T26" s="394"/>
      <c r="U26" s="394"/>
      <c r="V26" s="394"/>
      <c r="W26" s="394"/>
      <c r="X26" s="394"/>
      <c r="Y26" s="394"/>
      <c r="Z26" s="394"/>
      <c r="AA26" s="394"/>
      <c r="AB26" s="394"/>
      <c r="AC26" s="394"/>
      <c r="AD26" s="394"/>
      <c r="AE26" s="394"/>
      <c r="AF26" s="394"/>
      <c r="AG26" s="394"/>
      <c r="AH26" s="394"/>
      <c r="AI26" s="394"/>
      <c r="AJ26" s="394"/>
      <c r="AK26" s="394"/>
      <c r="AL26" s="394"/>
      <c r="AM26" s="394"/>
    </row>
    <row r="27" spans="1:39" x14ac:dyDescent="0.2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394"/>
      <c r="T27" s="394"/>
      <c r="U27" s="394"/>
      <c r="V27" s="394"/>
      <c r="W27" s="394"/>
      <c r="X27" s="394"/>
      <c r="Y27" s="394"/>
      <c r="Z27" s="394"/>
      <c r="AA27" s="394"/>
      <c r="AB27" s="394"/>
      <c r="AC27" s="394"/>
      <c r="AD27" s="394"/>
      <c r="AE27" s="394"/>
      <c r="AF27" s="394"/>
      <c r="AG27" s="394"/>
      <c r="AH27" s="394"/>
      <c r="AI27" s="394"/>
      <c r="AJ27" s="394"/>
      <c r="AK27" s="394"/>
      <c r="AL27" s="394"/>
      <c r="AM27" s="394"/>
    </row>
    <row r="28" spans="1:39" x14ac:dyDescent="0.25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394"/>
      <c r="T28" s="394"/>
      <c r="U28" s="394"/>
      <c r="V28" s="394"/>
      <c r="W28" s="394"/>
      <c r="X28" s="394"/>
      <c r="Y28" s="394"/>
      <c r="Z28" s="394"/>
      <c r="AA28" s="394"/>
      <c r="AB28" s="394"/>
      <c r="AC28" s="394"/>
      <c r="AD28" s="394"/>
      <c r="AE28" s="394"/>
      <c r="AF28" s="394"/>
      <c r="AG28" s="394"/>
      <c r="AH28" s="394"/>
      <c r="AI28" s="394"/>
      <c r="AJ28" s="394"/>
      <c r="AK28" s="394"/>
      <c r="AL28" s="394"/>
      <c r="AM28" s="394"/>
    </row>
    <row r="29" spans="1:39" x14ac:dyDescent="0.2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394"/>
      <c r="T29" s="394"/>
      <c r="U29" s="394"/>
      <c r="V29" s="394"/>
      <c r="W29" s="394"/>
      <c r="X29" s="394"/>
      <c r="Y29" s="394"/>
      <c r="Z29" s="394"/>
      <c r="AA29" s="394"/>
      <c r="AB29" s="394"/>
      <c r="AC29" s="394"/>
      <c r="AD29" s="394"/>
      <c r="AE29" s="394"/>
      <c r="AF29" s="394"/>
      <c r="AG29" s="394"/>
      <c r="AH29" s="394"/>
      <c r="AI29" s="394"/>
      <c r="AJ29" s="394"/>
      <c r="AK29" s="394"/>
      <c r="AL29" s="394"/>
      <c r="AM29" s="394"/>
    </row>
    <row r="30" spans="1:39" x14ac:dyDescent="0.25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394"/>
      <c r="T30" s="394"/>
      <c r="U30" s="394"/>
      <c r="V30" s="394"/>
      <c r="W30" s="394"/>
      <c r="X30" s="394"/>
      <c r="Y30" s="394"/>
      <c r="Z30" s="394"/>
      <c r="AA30" s="394"/>
      <c r="AB30" s="394"/>
      <c r="AC30" s="394"/>
      <c r="AD30" s="394"/>
      <c r="AE30" s="394"/>
      <c r="AF30" s="394"/>
      <c r="AG30" s="394"/>
      <c r="AH30" s="394"/>
      <c r="AI30" s="394"/>
      <c r="AJ30" s="394"/>
      <c r="AK30" s="394"/>
      <c r="AL30" s="394"/>
      <c r="AM30" s="394"/>
    </row>
    <row r="31" spans="1:39" x14ac:dyDescent="0.25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394"/>
      <c r="T31" s="394"/>
      <c r="U31" s="394"/>
      <c r="V31" s="394"/>
      <c r="W31" s="394"/>
      <c r="X31" s="394"/>
      <c r="Y31" s="394"/>
      <c r="Z31" s="394"/>
      <c r="AA31" s="394"/>
      <c r="AB31" s="394"/>
      <c r="AC31" s="394"/>
      <c r="AD31" s="394"/>
      <c r="AE31" s="394"/>
      <c r="AF31" s="394"/>
      <c r="AG31" s="394"/>
      <c r="AH31" s="394"/>
      <c r="AI31" s="394"/>
      <c r="AJ31" s="394"/>
      <c r="AK31" s="394"/>
      <c r="AL31" s="394"/>
      <c r="AM31" s="394"/>
    </row>
    <row r="32" spans="1:39" x14ac:dyDescent="0.25">
      <c r="A32" s="106"/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394"/>
      <c r="T32" s="394"/>
      <c r="U32" s="394"/>
      <c r="V32" s="394"/>
      <c r="W32" s="394"/>
      <c r="X32" s="394"/>
      <c r="Y32" s="394"/>
      <c r="Z32" s="394"/>
      <c r="AA32" s="394"/>
      <c r="AB32" s="394"/>
      <c r="AC32" s="394"/>
      <c r="AD32" s="394"/>
      <c r="AE32" s="394"/>
      <c r="AF32" s="394"/>
      <c r="AG32" s="394"/>
      <c r="AH32" s="394"/>
      <c r="AI32" s="394"/>
      <c r="AJ32" s="394"/>
      <c r="AK32" s="394"/>
      <c r="AL32" s="394"/>
      <c r="AM32" s="394"/>
    </row>
    <row r="33" spans="1:39" x14ac:dyDescent="0.2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394"/>
      <c r="T33" s="394"/>
      <c r="U33" s="394"/>
      <c r="V33" s="394"/>
      <c r="W33" s="394"/>
      <c r="X33" s="394"/>
      <c r="Y33" s="394"/>
      <c r="Z33" s="394"/>
      <c r="AA33" s="394"/>
      <c r="AB33" s="394"/>
      <c r="AC33" s="394"/>
      <c r="AD33" s="394"/>
      <c r="AE33" s="394"/>
      <c r="AF33" s="394"/>
      <c r="AG33" s="394"/>
      <c r="AH33" s="394"/>
      <c r="AI33" s="394"/>
      <c r="AJ33" s="394"/>
      <c r="AK33" s="394"/>
      <c r="AL33" s="394"/>
      <c r="AM33" s="394"/>
    </row>
    <row r="34" spans="1:39" x14ac:dyDescent="0.25">
      <c r="A34" s="106"/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394"/>
      <c r="T34" s="394"/>
      <c r="U34" s="394"/>
      <c r="V34" s="394"/>
      <c r="W34" s="394"/>
      <c r="X34" s="394"/>
      <c r="Y34" s="394"/>
      <c r="Z34" s="394"/>
      <c r="AA34" s="394"/>
      <c r="AB34" s="394"/>
      <c r="AC34" s="394"/>
      <c r="AD34" s="394"/>
      <c r="AE34" s="394"/>
      <c r="AF34" s="394"/>
      <c r="AG34" s="394"/>
      <c r="AH34" s="394"/>
      <c r="AI34" s="394"/>
      <c r="AJ34" s="394"/>
      <c r="AK34" s="394"/>
      <c r="AL34" s="394"/>
      <c r="AM34" s="394"/>
    </row>
    <row r="35" spans="1:39" x14ac:dyDescent="0.25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394"/>
      <c r="T35" s="394"/>
      <c r="U35" s="394"/>
      <c r="V35" s="394"/>
      <c r="W35" s="394"/>
      <c r="X35" s="394"/>
      <c r="Y35" s="394"/>
      <c r="Z35" s="394"/>
      <c r="AA35" s="394"/>
      <c r="AB35" s="394"/>
      <c r="AC35" s="394"/>
      <c r="AD35" s="394"/>
      <c r="AE35" s="394"/>
      <c r="AF35" s="394"/>
      <c r="AG35" s="394"/>
      <c r="AH35" s="394"/>
      <c r="AI35" s="394"/>
      <c r="AJ35" s="394"/>
      <c r="AK35" s="394"/>
      <c r="AL35" s="394"/>
      <c r="AM35" s="394"/>
    </row>
    <row r="36" spans="1:39" x14ac:dyDescent="0.25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394"/>
      <c r="T36" s="394"/>
      <c r="U36" s="394"/>
      <c r="V36" s="394"/>
      <c r="W36" s="394"/>
      <c r="X36" s="394"/>
      <c r="Y36" s="394"/>
      <c r="Z36" s="394"/>
      <c r="AA36" s="394"/>
      <c r="AB36" s="394"/>
      <c r="AC36" s="394"/>
      <c r="AD36" s="394"/>
      <c r="AE36" s="394"/>
      <c r="AF36" s="394"/>
      <c r="AG36" s="394"/>
      <c r="AH36" s="394"/>
      <c r="AI36" s="394"/>
      <c r="AJ36" s="394"/>
      <c r="AK36" s="394"/>
      <c r="AL36" s="394"/>
      <c r="AM36" s="394"/>
    </row>
    <row r="37" spans="1:39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394"/>
      <c r="T37" s="394"/>
      <c r="U37" s="394"/>
      <c r="V37" s="394"/>
      <c r="W37" s="394"/>
      <c r="X37" s="394"/>
      <c r="Y37" s="394"/>
      <c r="Z37" s="394"/>
      <c r="AA37" s="394"/>
      <c r="AB37" s="394"/>
      <c r="AC37" s="394"/>
      <c r="AD37" s="394"/>
      <c r="AE37" s="394"/>
      <c r="AF37" s="394"/>
      <c r="AG37" s="394"/>
      <c r="AH37" s="394"/>
      <c r="AI37" s="394"/>
      <c r="AJ37" s="394"/>
      <c r="AK37" s="394"/>
      <c r="AL37" s="394"/>
      <c r="AM37" s="394"/>
    </row>
    <row r="38" spans="1:39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394"/>
      <c r="T38" s="394"/>
      <c r="U38" s="394"/>
      <c r="V38" s="394"/>
      <c r="W38" s="394"/>
      <c r="X38" s="394"/>
      <c r="Y38" s="394"/>
      <c r="Z38" s="394"/>
      <c r="AA38" s="394"/>
      <c r="AB38" s="394"/>
      <c r="AC38" s="394"/>
      <c r="AD38" s="394"/>
      <c r="AE38" s="394"/>
      <c r="AF38" s="394"/>
      <c r="AG38" s="394"/>
      <c r="AH38" s="394"/>
      <c r="AI38" s="394"/>
      <c r="AJ38" s="394"/>
      <c r="AK38" s="394"/>
      <c r="AL38" s="394"/>
      <c r="AM38" s="394"/>
    </row>
    <row r="39" spans="1:39" x14ac:dyDescent="0.25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394"/>
      <c r="T39" s="394"/>
      <c r="U39" s="394"/>
      <c r="V39" s="394"/>
      <c r="W39" s="394"/>
      <c r="X39" s="394"/>
      <c r="Y39" s="394"/>
      <c r="Z39" s="394"/>
      <c r="AA39" s="394"/>
      <c r="AB39" s="394"/>
      <c r="AC39" s="394"/>
      <c r="AD39" s="394"/>
      <c r="AE39" s="394"/>
      <c r="AF39" s="394"/>
      <c r="AG39" s="394"/>
      <c r="AH39" s="394"/>
      <c r="AI39" s="394"/>
      <c r="AJ39" s="394"/>
      <c r="AK39" s="394"/>
      <c r="AL39" s="394"/>
      <c r="AM39" s="394"/>
    </row>
    <row r="40" spans="1:39" x14ac:dyDescent="0.2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394"/>
      <c r="T40" s="394"/>
      <c r="U40" s="394"/>
      <c r="V40" s="394"/>
      <c r="W40" s="394"/>
      <c r="X40" s="394"/>
      <c r="Y40" s="394"/>
      <c r="Z40" s="394"/>
      <c r="AA40" s="394"/>
      <c r="AB40" s="394"/>
      <c r="AC40" s="394"/>
      <c r="AD40" s="394"/>
      <c r="AE40" s="394"/>
      <c r="AF40" s="394"/>
      <c r="AG40" s="394"/>
      <c r="AH40" s="394"/>
      <c r="AI40" s="394"/>
      <c r="AJ40" s="394"/>
      <c r="AK40" s="394"/>
      <c r="AL40" s="394"/>
      <c r="AM40" s="394"/>
    </row>
    <row r="41" spans="1:39" x14ac:dyDescent="0.25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394"/>
      <c r="T41" s="394"/>
      <c r="U41" s="394"/>
      <c r="V41" s="394"/>
      <c r="W41" s="394"/>
      <c r="X41" s="394"/>
      <c r="Y41" s="394"/>
      <c r="Z41" s="394"/>
      <c r="AA41" s="394"/>
      <c r="AB41" s="394"/>
      <c r="AC41" s="394"/>
      <c r="AD41" s="394"/>
      <c r="AE41" s="394"/>
      <c r="AF41" s="394"/>
      <c r="AG41" s="394"/>
      <c r="AH41" s="394"/>
      <c r="AI41" s="394"/>
      <c r="AJ41" s="394"/>
      <c r="AK41" s="394"/>
      <c r="AL41" s="394"/>
      <c r="AM41" s="394"/>
    </row>
    <row r="42" spans="1:39" x14ac:dyDescent="0.25">
      <c r="A42" s="506" t="s">
        <v>254</v>
      </c>
      <c r="B42" s="506"/>
      <c r="C42" s="506"/>
      <c r="D42" s="506"/>
      <c r="E42" s="506"/>
      <c r="F42" s="506"/>
      <c r="G42" s="506"/>
      <c r="H42" s="506"/>
      <c r="I42" s="506"/>
      <c r="J42" s="506"/>
      <c r="K42" s="506"/>
      <c r="L42" s="506"/>
      <c r="M42" s="506"/>
      <c r="N42" s="506"/>
      <c r="O42" s="506"/>
      <c r="P42" s="506"/>
      <c r="Q42" s="506"/>
      <c r="R42" s="106"/>
      <c r="S42" s="394"/>
      <c r="T42" s="394"/>
      <c r="U42" s="394"/>
      <c r="V42" s="394"/>
      <c r="W42" s="394"/>
      <c r="X42" s="394"/>
      <c r="Y42" s="394"/>
      <c r="Z42" s="394"/>
      <c r="AA42" s="394"/>
      <c r="AB42" s="394"/>
      <c r="AC42" s="394"/>
      <c r="AD42" s="394"/>
      <c r="AE42" s="394"/>
      <c r="AF42" s="394"/>
      <c r="AG42" s="394"/>
      <c r="AH42" s="394"/>
      <c r="AI42" s="394"/>
      <c r="AJ42" s="394"/>
      <c r="AK42" s="394"/>
      <c r="AL42" s="394"/>
      <c r="AM42" s="394"/>
    </row>
    <row r="43" spans="1:39" x14ac:dyDescent="0.25">
      <c r="A43" s="506"/>
      <c r="B43" s="506"/>
      <c r="C43" s="506"/>
      <c r="D43" s="506"/>
      <c r="E43" s="506"/>
      <c r="F43" s="506"/>
      <c r="G43" s="506"/>
      <c r="H43" s="506"/>
      <c r="I43" s="506"/>
      <c r="J43" s="506"/>
      <c r="K43" s="506"/>
      <c r="L43" s="506"/>
      <c r="M43" s="506"/>
      <c r="N43" s="506"/>
      <c r="O43" s="506"/>
      <c r="P43" s="506"/>
      <c r="Q43" s="506"/>
      <c r="S43" s="394"/>
      <c r="T43" s="394"/>
      <c r="U43" s="394"/>
      <c r="V43" s="394"/>
      <c r="W43" s="394"/>
      <c r="X43" s="394"/>
      <c r="Y43" s="394"/>
      <c r="Z43" s="394"/>
      <c r="AA43" s="394"/>
      <c r="AB43" s="394"/>
      <c r="AC43" s="394"/>
      <c r="AD43" s="394"/>
      <c r="AE43" s="394"/>
      <c r="AF43" s="394"/>
      <c r="AG43" s="394"/>
      <c r="AH43" s="394"/>
      <c r="AI43" s="394"/>
      <c r="AJ43" s="394"/>
      <c r="AK43" s="394"/>
      <c r="AL43" s="394"/>
      <c r="AM43" s="394"/>
    </row>
  </sheetData>
  <sheetProtection algorithmName="SHA-512" hashValue="PFunE314O31X47ZvepvDCSoO4vecvJUZ1Fn6H2V/NqhHBnKdqYHLBRJ1cRMtdpD8BIyh3+YaEntTclHGg6RD4w==" saltValue="4hLsFRteJGeweeKYXpCVcw==" spinCount="100000" sheet="1" objects="1" scenarios="1" selectLockedCells="1"/>
  <customSheetViews>
    <customSheetView guid="{ADCFDDAA-AF71-42CE-8FD7-7ABB67CB940B}" scale="65" showPageBreaks="1" showGridLines="0" printArea="1" view="pageBreakPreview">
      <selection activeCell="W9" sqref="W9"/>
      <pageMargins left="0" right="0" top="0.59055118110236227" bottom="0.39370078740157483" header="0.51181102362204722" footer="0.51181102362204722"/>
      <printOptions horizontalCentered="1"/>
      <pageSetup paperSize="9" scale="90" orientation="landscape" horizontalDpi="300" verticalDpi="300" r:id="rId1"/>
      <headerFooter alignWithMargins="0"/>
    </customSheetView>
  </customSheetViews>
  <mergeCells count="5">
    <mergeCell ref="A3:Q3"/>
    <mergeCell ref="A2:Q2"/>
    <mergeCell ref="A9:Q9"/>
    <mergeCell ref="A42:Q43"/>
    <mergeCell ref="A6:Q6"/>
  </mergeCells>
  <phoneticPr fontId="0" type="noConversion"/>
  <printOptions horizontalCentered="1"/>
  <pageMargins left="0" right="0" top="0.59055118110236227" bottom="0.39370078740157483" header="0.51181102362204722" footer="0.51181102362204722"/>
  <pageSetup paperSize="9" scale="90" orientation="landscape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K65"/>
  <sheetViews>
    <sheetView workbookViewId="0">
      <selection activeCell="C14" sqref="C14"/>
    </sheetView>
  </sheetViews>
  <sheetFormatPr defaultRowHeight="12.5" x14ac:dyDescent="0.25"/>
  <cols>
    <col min="1" max="1" width="17.26953125" customWidth="1"/>
    <col min="2" max="2" width="13.7265625" bestFit="1" customWidth="1"/>
    <col min="3" max="3" width="14.7265625" bestFit="1" customWidth="1"/>
    <col min="4" max="4" width="21.54296875" customWidth="1"/>
  </cols>
  <sheetData>
    <row r="1" spans="1:11" x14ac:dyDescent="0.25">
      <c r="A1" s="397" t="s">
        <v>261</v>
      </c>
      <c r="B1" s="397" t="s">
        <v>262</v>
      </c>
      <c r="C1" s="397" t="s">
        <v>263</v>
      </c>
    </row>
    <row r="2" spans="1:11" x14ac:dyDescent="0.25">
      <c r="A2" s="408">
        <v>10</v>
      </c>
      <c r="B2" s="408">
        <v>10</v>
      </c>
      <c r="C2" s="408">
        <v>10</v>
      </c>
      <c r="F2" s="394">
        <v>380</v>
      </c>
      <c r="G2" s="394">
        <v>220</v>
      </c>
      <c r="H2" s="394">
        <v>34.5</v>
      </c>
      <c r="I2" s="395" t="s">
        <v>249</v>
      </c>
      <c r="J2" s="395" t="s">
        <v>251</v>
      </c>
      <c r="K2" s="395" t="s">
        <v>214</v>
      </c>
    </row>
    <row r="3" spans="1:11" x14ac:dyDescent="0.25">
      <c r="A3" s="408">
        <v>16</v>
      </c>
      <c r="B3" s="408">
        <v>16</v>
      </c>
      <c r="C3" s="408">
        <v>16</v>
      </c>
      <c r="F3" s="394">
        <v>220</v>
      </c>
      <c r="G3" s="394">
        <v>127</v>
      </c>
      <c r="H3" s="394">
        <v>13.8</v>
      </c>
      <c r="I3" s="395" t="s">
        <v>250</v>
      </c>
      <c r="J3" s="395" t="s">
        <v>252</v>
      </c>
      <c r="K3" s="395" t="s">
        <v>205</v>
      </c>
    </row>
    <row r="4" spans="1:11" x14ac:dyDescent="0.25">
      <c r="A4" s="408">
        <v>25</v>
      </c>
      <c r="B4" s="408">
        <v>25</v>
      </c>
      <c r="C4" s="408">
        <v>25</v>
      </c>
    </row>
    <row r="5" spans="1:11" x14ac:dyDescent="0.25">
      <c r="A5" s="408"/>
      <c r="B5" s="408">
        <v>35</v>
      </c>
      <c r="C5" s="408">
        <v>35</v>
      </c>
    </row>
    <row r="6" spans="1:11" x14ac:dyDescent="0.25">
      <c r="A6" s="408"/>
      <c r="B6" s="408">
        <v>50</v>
      </c>
      <c r="C6" s="408">
        <v>50</v>
      </c>
    </row>
    <row r="7" spans="1:11" x14ac:dyDescent="0.25">
      <c r="A7" s="408"/>
      <c r="B7" s="408">
        <v>70</v>
      </c>
      <c r="C7" s="408">
        <v>70</v>
      </c>
    </row>
    <row r="8" spans="1:11" x14ac:dyDescent="0.25">
      <c r="A8" s="408"/>
      <c r="B8" s="409"/>
      <c r="C8" s="408">
        <v>120</v>
      </c>
    </row>
    <row r="9" spans="1:11" x14ac:dyDescent="0.25">
      <c r="A9" s="3"/>
      <c r="B9" s="396"/>
    </row>
    <row r="10" spans="1:11" x14ac:dyDescent="0.25">
      <c r="A10" s="3"/>
      <c r="B10" s="396"/>
    </row>
    <row r="11" spans="1:11" x14ac:dyDescent="0.25">
      <c r="A11" s="3"/>
      <c r="B11" s="396"/>
    </row>
    <row r="12" spans="1:11" x14ac:dyDescent="0.25">
      <c r="A12" s="3"/>
      <c r="B12" s="396"/>
    </row>
    <row r="13" spans="1:11" x14ac:dyDescent="0.25">
      <c r="A13" s="3"/>
      <c r="B13" s="396"/>
    </row>
    <row r="14" spans="1:11" ht="13" thickBot="1" x14ac:dyDescent="0.3">
      <c r="A14" s="3"/>
      <c r="B14" s="396"/>
    </row>
    <row r="15" spans="1:11" ht="52.5" thickBot="1" x14ac:dyDescent="0.3">
      <c r="B15" s="398" t="s">
        <v>264</v>
      </c>
      <c r="C15" s="399" t="s">
        <v>265</v>
      </c>
    </row>
    <row r="16" spans="1:11" ht="13.5" thickBot="1" x14ac:dyDescent="0.3">
      <c r="A16" s="400">
        <v>150</v>
      </c>
      <c r="B16" s="404">
        <v>0</v>
      </c>
      <c r="C16" s="401">
        <v>1.96</v>
      </c>
      <c r="D16" s="405">
        <v>600</v>
      </c>
      <c r="E16">
        <f>IF(D16="","",VLOOKUP(D16,$B$16:$C$64,2,TRUE))</f>
        <v>4</v>
      </c>
    </row>
    <row r="17" spans="1:5" ht="13" thickBot="1" x14ac:dyDescent="0.3">
      <c r="A17" s="400">
        <v>160</v>
      </c>
      <c r="B17" s="400">
        <f>A16+0.1</f>
        <v>150.1</v>
      </c>
      <c r="C17" s="401">
        <v>2.02</v>
      </c>
      <c r="E17" t="str">
        <f t="shared" ref="E17:E64" si="0">IF(D17="","",VLOOKUP(D17,$B$16:$C$64,2,TRUE))</f>
        <v/>
      </c>
    </row>
    <row r="18" spans="1:5" ht="13" thickBot="1" x14ac:dyDescent="0.3">
      <c r="A18" s="400">
        <v>170</v>
      </c>
      <c r="B18" s="400">
        <f t="shared" ref="B18:B61" si="1">A17+0.1</f>
        <v>160.1</v>
      </c>
      <c r="C18" s="401">
        <v>2.0699999999999998</v>
      </c>
      <c r="E18" t="str">
        <f t="shared" si="0"/>
        <v/>
      </c>
    </row>
    <row r="19" spans="1:5" ht="13" thickBot="1" x14ac:dyDescent="0.3">
      <c r="A19" s="400">
        <v>180</v>
      </c>
      <c r="B19" s="400">
        <f t="shared" si="1"/>
        <v>170.1</v>
      </c>
      <c r="C19" s="401">
        <v>2.13</v>
      </c>
      <c r="E19" t="str">
        <f t="shared" si="0"/>
        <v/>
      </c>
    </row>
    <row r="20" spans="1:5" ht="13" thickBot="1" x14ac:dyDescent="0.3">
      <c r="A20" s="400">
        <v>190</v>
      </c>
      <c r="B20" s="400">
        <f t="shared" si="1"/>
        <v>180.1</v>
      </c>
      <c r="C20" s="401">
        <v>2.1800000000000002</v>
      </c>
      <c r="E20" t="str">
        <f t="shared" si="0"/>
        <v/>
      </c>
    </row>
    <row r="21" spans="1:5" ht="13" thickBot="1" x14ac:dyDescent="0.3">
      <c r="A21" s="400">
        <v>200</v>
      </c>
      <c r="B21" s="400">
        <f t="shared" si="1"/>
        <v>190.1</v>
      </c>
      <c r="C21" s="401">
        <v>2.2400000000000002</v>
      </c>
      <c r="E21" t="str">
        <f t="shared" si="0"/>
        <v/>
      </c>
    </row>
    <row r="22" spans="1:5" ht="13" thickBot="1" x14ac:dyDescent="0.3">
      <c r="A22" s="400">
        <v>210</v>
      </c>
      <c r="B22" s="400">
        <f t="shared" si="1"/>
        <v>200.1</v>
      </c>
      <c r="C22" s="401">
        <v>2.29</v>
      </c>
      <c r="E22" t="str">
        <f t="shared" si="0"/>
        <v/>
      </c>
    </row>
    <row r="23" spans="1:5" ht="13" thickBot="1" x14ac:dyDescent="0.3">
      <c r="A23" s="400">
        <v>220</v>
      </c>
      <c r="B23" s="400">
        <f t="shared" si="1"/>
        <v>210.1</v>
      </c>
      <c r="C23" s="401">
        <v>2.34</v>
      </c>
      <c r="E23" t="str">
        <f t="shared" si="0"/>
        <v/>
      </c>
    </row>
    <row r="24" spans="1:5" ht="13" thickBot="1" x14ac:dyDescent="0.3">
      <c r="A24" s="400">
        <v>230</v>
      </c>
      <c r="B24" s="400">
        <f t="shared" si="1"/>
        <v>220.1</v>
      </c>
      <c r="C24" s="401">
        <v>2.4</v>
      </c>
      <c r="E24" t="str">
        <f t="shared" si="0"/>
        <v/>
      </c>
    </row>
    <row r="25" spans="1:5" ht="13" thickBot="1" x14ac:dyDescent="0.3">
      <c r="A25" s="400">
        <v>240</v>
      </c>
      <c r="B25" s="400">
        <f t="shared" si="1"/>
        <v>230.1</v>
      </c>
      <c r="C25" s="401">
        <v>2.4500000000000002</v>
      </c>
      <c r="E25" t="str">
        <f t="shared" si="0"/>
        <v/>
      </c>
    </row>
    <row r="26" spans="1:5" ht="13" thickBot="1" x14ac:dyDescent="0.3">
      <c r="A26" s="400">
        <v>250</v>
      </c>
      <c r="B26" s="400">
        <f t="shared" si="1"/>
        <v>240.1</v>
      </c>
      <c r="C26" s="401">
        <v>2.5</v>
      </c>
      <c r="E26" t="str">
        <f t="shared" si="0"/>
        <v/>
      </c>
    </row>
    <row r="27" spans="1:5" ht="13" thickBot="1" x14ac:dyDescent="0.3">
      <c r="A27" s="400">
        <v>260</v>
      </c>
      <c r="B27" s="400">
        <f t="shared" si="1"/>
        <v>250.1</v>
      </c>
      <c r="C27" s="401">
        <v>2.5499999999999998</v>
      </c>
      <c r="E27" t="str">
        <f t="shared" si="0"/>
        <v/>
      </c>
    </row>
    <row r="28" spans="1:5" ht="13" thickBot="1" x14ac:dyDescent="0.3">
      <c r="A28" s="400">
        <v>270</v>
      </c>
      <c r="B28" s="400">
        <f t="shared" si="1"/>
        <v>260.10000000000002</v>
      </c>
      <c r="C28" s="401">
        <v>2.61</v>
      </c>
      <c r="E28" t="str">
        <f t="shared" si="0"/>
        <v/>
      </c>
    </row>
    <row r="29" spans="1:5" ht="13" thickBot="1" x14ac:dyDescent="0.3">
      <c r="A29" s="400">
        <v>280</v>
      </c>
      <c r="B29" s="400">
        <f t="shared" si="1"/>
        <v>270.10000000000002</v>
      </c>
      <c r="C29" s="401">
        <v>2.66</v>
      </c>
      <c r="E29" t="str">
        <f t="shared" si="0"/>
        <v/>
      </c>
    </row>
    <row r="30" spans="1:5" ht="13" thickBot="1" x14ac:dyDescent="0.3">
      <c r="A30" s="400">
        <v>290</v>
      </c>
      <c r="B30" s="400">
        <f t="shared" si="1"/>
        <v>280.10000000000002</v>
      </c>
      <c r="C30" s="401">
        <v>2.71</v>
      </c>
      <c r="E30" t="str">
        <f t="shared" si="0"/>
        <v/>
      </c>
    </row>
    <row r="31" spans="1:5" ht="13" thickBot="1" x14ac:dyDescent="0.3">
      <c r="A31" s="400">
        <v>300</v>
      </c>
      <c r="B31" s="400">
        <f t="shared" si="1"/>
        <v>290.10000000000002</v>
      </c>
      <c r="C31" s="401">
        <v>2.76</v>
      </c>
      <c r="E31" t="str">
        <f t="shared" si="0"/>
        <v/>
      </c>
    </row>
    <row r="32" spans="1:5" ht="13" thickBot="1" x14ac:dyDescent="0.3">
      <c r="A32" s="400">
        <v>310</v>
      </c>
      <c r="B32" s="400">
        <f t="shared" si="1"/>
        <v>300.10000000000002</v>
      </c>
      <c r="C32" s="401">
        <v>2.81</v>
      </c>
      <c r="E32" t="str">
        <f t="shared" si="0"/>
        <v/>
      </c>
    </row>
    <row r="33" spans="1:5" ht="13" thickBot="1" x14ac:dyDescent="0.3">
      <c r="A33" s="400">
        <v>320</v>
      </c>
      <c r="B33" s="400">
        <f t="shared" si="1"/>
        <v>310.10000000000002</v>
      </c>
      <c r="C33" s="401">
        <v>2.86</v>
      </c>
      <c r="E33" t="str">
        <f t="shared" si="0"/>
        <v/>
      </c>
    </row>
    <row r="34" spans="1:5" ht="13" thickBot="1" x14ac:dyDescent="0.3">
      <c r="A34" s="400">
        <v>330</v>
      </c>
      <c r="B34" s="400">
        <f t="shared" si="1"/>
        <v>320.10000000000002</v>
      </c>
      <c r="C34" s="401">
        <v>2.91</v>
      </c>
      <c r="E34" t="str">
        <f t="shared" si="0"/>
        <v/>
      </c>
    </row>
    <row r="35" spans="1:5" ht="13" thickBot="1" x14ac:dyDescent="0.3">
      <c r="A35" s="400">
        <v>340</v>
      </c>
      <c r="B35" s="400">
        <f t="shared" si="1"/>
        <v>330.1</v>
      </c>
      <c r="C35" s="401">
        <v>2.97</v>
      </c>
      <c r="E35" t="str">
        <f t="shared" si="0"/>
        <v/>
      </c>
    </row>
    <row r="36" spans="1:5" ht="13" thickBot="1" x14ac:dyDescent="0.3">
      <c r="A36" s="400">
        <v>350</v>
      </c>
      <c r="B36" s="400">
        <f t="shared" si="1"/>
        <v>340.1</v>
      </c>
      <c r="C36" s="401">
        <v>3.02</v>
      </c>
      <c r="E36" t="str">
        <f t="shared" si="0"/>
        <v/>
      </c>
    </row>
    <row r="37" spans="1:5" ht="13" thickBot="1" x14ac:dyDescent="0.3">
      <c r="A37" s="400">
        <v>360</v>
      </c>
      <c r="B37" s="400">
        <f t="shared" si="1"/>
        <v>350.1</v>
      </c>
      <c r="C37" s="401">
        <v>3.07</v>
      </c>
      <c r="E37" t="str">
        <f t="shared" si="0"/>
        <v/>
      </c>
    </row>
    <row r="38" spans="1:5" ht="13" thickBot="1" x14ac:dyDescent="0.3">
      <c r="A38" s="400">
        <v>370</v>
      </c>
      <c r="B38" s="400">
        <f t="shared" si="1"/>
        <v>360.1</v>
      </c>
      <c r="C38" s="401">
        <v>3.12</v>
      </c>
      <c r="E38" t="str">
        <f t="shared" si="0"/>
        <v/>
      </c>
    </row>
    <row r="39" spans="1:5" ht="13" thickBot="1" x14ac:dyDescent="0.3">
      <c r="A39" s="401">
        <v>380</v>
      </c>
      <c r="B39" s="400">
        <f t="shared" si="1"/>
        <v>370.1</v>
      </c>
      <c r="C39" s="403">
        <v>3.17</v>
      </c>
      <c r="E39" t="str">
        <f t="shared" si="0"/>
        <v/>
      </c>
    </row>
    <row r="40" spans="1:5" ht="13" thickBot="1" x14ac:dyDescent="0.3">
      <c r="A40" s="401">
        <v>390</v>
      </c>
      <c r="B40" s="400">
        <f t="shared" si="1"/>
        <v>380.1</v>
      </c>
      <c r="C40" s="403">
        <v>3.22</v>
      </c>
      <c r="E40" t="str">
        <f t="shared" si="0"/>
        <v/>
      </c>
    </row>
    <row r="41" spans="1:5" ht="13" thickBot="1" x14ac:dyDescent="0.3">
      <c r="A41" s="402">
        <v>400</v>
      </c>
      <c r="B41" s="400">
        <f t="shared" si="1"/>
        <v>390.1</v>
      </c>
      <c r="C41" s="401">
        <v>3.27</v>
      </c>
      <c r="E41" t="str">
        <f t="shared" si="0"/>
        <v/>
      </c>
    </row>
    <row r="42" spans="1:5" ht="13" thickBot="1" x14ac:dyDescent="0.3">
      <c r="A42" s="402">
        <v>410</v>
      </c>
      <c r="B42" s="400">
        <f t="shared" si="1"/>
        <v>400.1</v>
      </c>
      <c r="C42" s="401">
        <v>3.32</v>
      </c>
      <c r="E42" t="str">
        <f t="shared" si="0"/>
        <v/>
      </c>
    </row>
    <row r="43" spans="1:5" ht="13" thickBot="1" x14ac:dyDescent="0.3">
      <c r="A43" s="402">
        <v>420</v>
      </c>
      <c r="B43" s="400">
        <f t="shared" si="1"/>
        <v>410.1</v>
      </c>
      <c r="C43" s="401">
        <v>3.37</v>
      </c>
      <c r="E43" t="str">
        <f t="shared" si="0"/>
        <v/>
      </c>
    </row>
    <row r="44" spans="1:5" ht="13" thickBot="1" x14ac:dyDescent="0.3">
      <c r="A44" s="402">
        <v>430</v>
      </c>
      <c r="B44" s="400">
        <f t="shared" si="1"/>
        <v>420.1</v>
      </c>
      <c r="C44" s="401">
        <v>3.42</v>
      </c>
      <c r="E44" t="str">
        <f t="shared" si="0"/>
        <v/>
      </c>
    </row>
    <row r="45" spans="1:5" ht="13" thickBot="1" x14ac:dyDescent="0.3">
      <c r="A45" s="402">
        <v>440</v>
      </c>
      <c r="B45" s="400">
        <f t="shared" si="1"/>
        <v>430.1</v>
      </c>
      <c r="C45" s="401">
        <v>3.47</v>
      </c>
      <c r="E45" t="str">
        <f t="shared" si="0"/>
        <v/>
      </c>
    </row>
    <row r="46" spans="1:5" ht="13" thickBot="1" x14ac:dyDescent="0.3">
      <c r="A46" s="402">
        <v>450</v>
      </c>
      <c r="B46" s="400">
        <f t="shared" si="1"/>
        <v>440.1</v>
      </c>
      <c r="C46" s="401">
        <v>3.52</v>
      </c>
      <c r="E46" t="str">
        <f t="shared" si="0"/>
        <v/>
      </c>
    </row>
    <row r="47" spans="1:5" ht="13" thickBot="1" x14ac:dyDescent="0.3">
      <c r="A47" s="402">
        <v>460</v>
      </c>
      <c r="B47" s="400">
        <f t="shared" si="1"/>
        <v>450.1</v>
      </c>
      <c r="C47" s="401">
        <v>3.56</v>
      </c>
      <c r="E47" t="str">
        <f t="shared" si="0"/>
        <v/>
      </c>
    </row>
    <row r="48" spans="1:5" ht="13" thickBot="1" x14ac:dyDescent="0.3">
      <c r="A48" s="402">
        <v>470</v>
      </c>
      <c r="B48" s="400">
        <f t="shared" si="1"/>
        <v>460.1</v>
      </c>
      <c r="C48" s="401">
        <v>3.61</v>
      </c>
      <c r="E48" t="str">
        <f t="shared" si="0"/>
        <v/>
      </c>
    </row>
    <row r="49" spans="1:5" ht="13" thickBot="1" x14ac:dyDescent="0.3">
      <c r="A49" s="402">
        <v>480</v>
      </c>
      <c r="B49" s="400">
        <f t="shared" si="1"/>
        <v>470.1</v>
      </c>
      <c r="C49" s="401">
        <v>3.66</v>
      </c>
      <c r="E49" t="str">
        <f t="shared" si="0"/>
        <v/>
      </c>
    </row>
    <row r="50" spans="1:5" ht="13" thickBot="1" x14ac:dyDescent="0.3">
      <c r="A50" s="402">
        <v>490</v>
      </c>
      <c r="B50" s="400">
        <f t="shared" si="1"/>
        <v>480.1</v>
      </c>
      <c r="C50" s="401">
        <v>3.71</v>
      </c>
      <c r="E50" t="str">
        <f t="shared" si="0"/>
        <v/>
      </c>
    </row>
    <row r="51" spans="1:5" ht="13" thickBot="1" x14ac:dyDescent="0.3">
      <c r="A51" s="402">
        <v>500</v>
      </c>
      <c r="B51" s="400">
        <f t="shared" si="1"/>
        <v>490.1</v>
      </c>
      <c r="C51" s="401">
        <v>3.76</v>
      </c>
      <c r="E51" t="str">
        <f t="shared" si="0"/>
        <v/>
      </c>
    </row>
    <row r="52" spans="1:5" ht="13" thickBot="1" x14ac:dyDescent="0.3">
      <c r="A52" s="402">
        <v>510</v>
      </c>
      <c r="B52" s="400">
        <f t="shared" si="1"/>
        <v>500.1</v>
      </c>
      <c r="C52" s="401">
        <v>3.78</v>
      </c>
      <c r="E52" t="str">
        <f t="shared" si="0"/>
        <v/>
      </c>
    </row>
    <row r="53" spans="1:5" ht="13" thickBot="1" x14ac:dyDescent="0.3">
      <c r="A53" s="402">
        <v>520</v>
      </c>
      <c r="B53" s="400">
        <f t="shared" si="1"/>
        <v>510.1</v>
      </c>
      <c r="C53" s="401">
        <v>3.81</v>
      </c>
      <c r="E53" t="str">
        <f t="shared" si="0"/>
        <v/>
      </c>
    </row>
    <row r="54" spans="1:5" ht="13" thickBot="1" x14ac:dyDescent="0.3">
      <c r="A54" s="402">
        <v>530</v>
      </c>
      <c r="B54" s="400">
        <f t="shared" si="1"/>
        <v>520.1</v>
      </c>
      <c r="C54" s="401">
        <v>3.83</v>
      </c>
      <c r="E54" t="str">
        <f t="shared" si="0"/>
        <v/>
      </c>
    </row>
    <row r="55" spans="1:5" ht="13" thickBot="1" x14ac:dyDescent="0.3">
      <c r="A55" s="402">
        <v>540</v>
      </c>
      <c r="B55" s="400">
        <f t="shared" si="1"/>
        <v>530.1</v>
      </c>
      <c r="C55" s="401">
        <v>3.86</v>
      </c>
      <c r="E55" t="str">
        <f t="shared" si="0"/>
        <v/>
      </c>
    </row>
    <row r="56" spans="1:5" ht="13" thickBot="1" x14ac:dyDescent="0.3">
      <c r="A56" s="402">
        <v>550</v>
      </c>
      <c r="B56" s="400">
        <f t="shared" si="1"/>
        <v>540.1</v>
      </c>
      <c r="C56" s="401">
        <v>3.88</v>
      </c>
      <c r="E56" t="str">
        <f t="shared" si="0"/>
        <v/>
      </c>
    </row>
    <row r="57" spans="1:5" ht="13" thickBot="1" x14ac:dyDescent="0.3">
      <c r="A57" s="402">
        <v>560</v>
      </c>
      <c r="B57" s="400">
        <f t="shared" si="1"/>
        <v>550.1</v>
      </c>
      <c r="C57" s="401">
        <v>3.9</v>
      </c>
      <c r="E57" t="str">
        <f t="shared" si="0"/>
        <v/>
      </c>
    </row>
    <row r="58" spans="1:5" ht="13" thickBot="1" x14ac:dyDescent="0.3">
      <c r="A58" s="402">
        <v>570</v>
      </c>
      <c r="B58" s="400">
        <f t="shared" si="1"/>
        <v>560.1</v>
      </c>
      <c r="C58" s="401">
        <v>3.93</v>
      </c>
      <c r="E58" t="str">
        <f t="shared" si="0"/>
        <v/>
      </c>
    </row>
    <row r="59" spans="1:5" ht="13" thickBot="1" x14ac:dyDescent="0.3">
      <c r="A59" s="402">
        <v>580</v>
      </c>
      <c r="B59" s="400">
        <f t="shared" si="1"/>
        <v>570.1</v>
      </c>
      <c r="C59" s="401">
        <v>3.95</v>
      </c>
      <c r="E59" t="str">
        <f t="shared" si="0"/>
        <v/>
      </c>
    </row>
    <row r="60" spans="1:5" ht="13" thickBot="1" x14ac:dyDescent="0.3">
      <c r="A60" s="402">
        <v>590</v>
      </c>
      <c r="B60" s="400">
        <f t="shared" si="1"/>
        <v>580.1</v>
      </c>
      <c r="C60" s="401">
        <v>3.98</v>
      </c>
      <c r="E60" t="str">
        <f t="shared" si="0"/>
        <v/>
      </c>
    </row>
    <row r="61" spans="1:5" ht="13" thickBot="1" x14ac:dyDescent="0.3">
      <c r="A61" s="402">
        <v>600</v>
      </c>
      <c r="B61" s="400">
        <f t="shared" si="1"/>
        <v>590.1</v>
      </c>
      <c r="C61" s="401">
        <v>4</v>
      </c>
      <c r="D61">
        <v>2001</v>
      </c>
      <c r="E61">
        <f t="shared" si="0"/>
        <v>14</v>
      </c>
    </row>
    <row r="62" spans="1:5" ht="13" thickBot="1" x14ac:dyDescent="0.3">
      <c r="A62" s="402" t="s">
        <v>266</v>
      </c>
      <c r="B62" s="400">
        <f>A61+0.1</f>
        <v>600.1</v>
      </c>
      <c r="C62" s="401">
        <v>7</v>
      </c>
      <c r="E62" t="str">
        <f t="shared" si="0"/>
        <v/>
      </c>
    </row>
    <row r="63" spans="1:5" ht="13" thickBot="1" x14ac:dyDescent="0.3">
      <c r="A63" s="402" t="s">
        <v>267</v>
      </c>
      <c r="B63" s="402">
        <f>1200+0.1</f>
        <v>1200.0999999999999</v>
      </c>
      <c r="C63" s="401">
        <v>10</v>
      </c>
      <c r="E63" t="str">
        <f t="shared" si="0"/>
        <v/>
      </c>
    </row>
    <row r="64" spans="1:5" ht="13" thickBot="1" x14ac:dyDescent="0.3">
      <c r="A64" s="403" t="s">
        <v>268</v>
      </c>
      <c r="B64" s="402">
        <f>2000+0.1</f>
        <v>2000.1</v>
      </c>
      <c r="C64" s="403">
        <v>14</v>
      </c>
      <c r="E64" t="str">
        <f t="shared" si="0"/>
        <v/>
      </c>
    </row>
    <row r="65" spans="1:2" ht="13" thickBot="1" x14ac:dyDescent="0.3">
      <c r="A65" s="164"/>
      <c r="B65" s="403"/>
    </row>
  </sheetData>
  <dataValidations count="1">
    <dataValidation type="custom" allowBlank="1" showInputMessage="1" showErrorMessage="1" sqref="C9:C14">
      <formula1>IF(#REF!="Duplex",$A$2:$A$4,IF(#REF!="Triplex",$A$5:$A$10,IF(#REF!="Quadruplex",$A$11:$A$18)))</formula1>
    </dataValidation>
  </dataValidations>
  <pageMargins left="0.511811024" right="0.511811024" top="0.78740157499999996" bottom="0.78740157499999996" header="0.31496062000000002" footer="0.31496062000000002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V10"/>
  <sheetViews>
    <sheetView showGridLines="0" zoomScale="85" zoomScaleNormal="85" workbookViewId="0">
      <selection activeCell="B10" sqref="B10:V10"/>
    </sheetView>
  </sheetViews>
  <sheetFormatPr defaultRowHeight="12.5" x14ac:dyDescent="0.25"/>
  <cols>
    <col min="1" max="1" width="5.81640625" customWidth="1"/>
  </cols>
  <sheetData>
    <row r="1" spans="1:22" ht="17.5" x14ac:dyDescent="0.25">
      <c r="A1" s="704" t="s">
        <v>285</v>
      </c>
      <c r="B1" s="704"/>
      <c r="C1" s="704"/>
      <c r="D1" s="704"/>
      <c r="E1" s="704"/>
      <c r="F1" s="704"/>
      <c r="G1" s="704"/>
      <c r="H1" s="704"/>
      <c r="I1" s="704"/>
      <c r="J1" s="704"/>
      <c r="K1" s="704"/>
      <c r="L1" s="704"/>
      <c r="M1" s="704"/>
      <c r="N1" s="704"/>
      <c r="O1" s="704"/>
      <c r="P1" s="704"/>
      <c r="Q1" s="704"/>
      <c r="R1" s="704"/>
    </row>
    <row r="2" spans="1:22" ht="17.5" x14ac:dyDescent="0.25">
      <c r="A2" s="479"/>
      <c r="B2" s="479"/>
      <c r="C2" s="479"/>
      <c r="D2" s="479"/>
      <c r="E2" s="479"/>
      <c r="F2" s="479"/>
      <c r="G2" s="479"/>
      <c r="H2" s="479"/>
      <c r="I2" s="479"/>
      <c r="J2" s="479"/>
      <c r="K2" s="479"/>
      <c r="L2" s="479"/>
      <c r="M2" s="479"/>
      <c r="N2" s="479"/>
      <c r="O2" s="479"/>
      <c r="P2" s="479"/>
      <c r="Q2" s="479"/>
      <c r="R2" s="479"/>
    </row>
    <row r="3" spans="1:22" ht="15.5" x14ac:dyDescent="0.25">
      <c r="A3" s="480">
        <v>1</v>
      </c>
      <c r="B3" s="703" t="s">
        <v>278</v>
      </c>
      <c r="C3" s="703"/>
      <c r="D3" s="703"/>
      <c r="E3" s="703"/>
      <c r="F3" s="703"/>
      <c r="G3" s="703"/>
      <c r="H3" s="703"/>
      <c r="I3" s="703"/>
      <c r="J3" s="703"/>
      <c r="K3" s="703"/>
      <c r="L3" s="703"/>
      <c r="M3" s="703"/>
      <c r="N3" s="703"/>
      <c r="O3" s="703"/>
      <c r="P3" s="703"/>
      <c r="Q3" s="703"/>
      <c r="R3" s="703"/>
      <c r="S3" s="703"/>
      <c r="T3" s="703"/>
      <c r="U3" s="703"/>
      <c r="V3" s="703"/>
    </row>
    <row r="4" spans="1:22" ht="30" customHeight="1" x14ac:dyDescent="0.25">
      <c r="A4" s="481">
        <v>2</v>
      </c>
      <c r="B4" s="705" t="s">
        <v>284</v>
      </c>
      <c r="C4" s="705"/>
      <c r="D4" s="705"/>
      <c r="E4" s="705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</row>
    <row r="5" spans="1:22" ht="15.5" x14ac:dyDescent="0.25">
      <c r="A5" s="480">
        <v>3</v>
      </c>
      <c r="B5" s="703" t="s">
        <v>277</v>
      </c>
      <c r="C5" s="703"/>
      <c r="D5" s="703"/>
      <c r="E5" s="703"/>
      <c r="F5" s="703"/>
      <c r="G5" s="703"/>
      <c r="H5" s="703"/>
      <c r="I5" s="703"/>
      <c r="J5" s="703"/>
      <c r="K5" s="703"/>
      <c r="L5" s="703"/>
      <c r="M5" s="703"/>
      <c r="N5" s="703"/>
      <c r="O5" s="703"/>
      <c r="P5" s="703"/>
      <c r="Q5" s="703"/>
      <c r="R5" s="703"/>
      <c r="S5" s="703"/>
      <c r="T5" s="703"/>
      <c r="U5" s="703"/>
      <c r="V5" s="703"/>
    </row>
    <row r="6" spans="1:22" ht="15.5" x14ac:dyDescent="0.25">
      <c r="A6" s="480">
        <v>4</v>
      </c>
      <c r="B6" s="703" t="s">
        <v>283</v>
      </c>
      <c r="C6" s="703"/>
      <c r="D6" s="703"/>
      <c r="E6" s="703"/>
      <c r="F6" s="703"/>
      <c r="G6" s="703"/>
      <c r="H6" s="703"/>
      <c r="I6" s="703"/>
      <c r="J6" s="703"/>
      <c r="K6" s="703"/>
      <c r="L6" s="703"/>
      <c r="M6" s="703"/>
      <c r="N6" s="703"/>
      <c r="O6" s="703"/>
      <c r="P6" s="703"/>
      <c r="Q6" s="703"/>
      <c r="R6" s="703"/>
      <c r="S6" s="703"/>
      <c r="T6" s="703"/>
      <c r="U6" s="703"/>
      <c r="V6" s="703"/>
    </row>
    <row r="7" spans="1:22" ht="15.5" x14ac:dyDescent="0.25">
      <c r="A7" s="480">
        <v>5</v>
      </c>
      <c r="B7" s="703" t="s">
        <v>279</v>
      </c>
      <c r="C7" s="703"/>
      <c r="D7" s="703"/>
      <c r="E7" s="703"/>
      <c r="F7" s="703"/>
      <c r="G7" s="703"/>
      <c r="H7" s="703"/>
      <c r="I7" s="703"/>
      <c r="J7" s="703"/>
      <c r="K7" s="703"/>
      <c r="L7" s="703"/>
      <c r="M7" s="703"/>
      <c r="N7" s="703"/>
      <c r="O7" s="703"/>
      <c r="P7" s="703"/>
      <c r="Q7" s="703"/>
      <c r="R7" s="703"/>
      <c r="S7" s="703"/>
      <c r="T7" s="703"/>
      <c r="U7" s="703"/>
      <c r="V7" s="703"/>
    </row>
    <row r="8" spans="1:22" ht="15.5" x14ac:dyDescent="0.25">
      <c r="A8" s="480">
        <v>6</v>
      </c>
      <c r="B8" s="703" t="s">
        <v>281</v>
      </c>
      <c r="C8" s="703"/>
      <c r="D8" s="703"/>
      <c r="E8" s="703"/>
      <c r="F8" s="703"/>
      <c r="G8" s="703"/>
      <c r="H8" s="703"/>
      <c r="I8" s="703"/>
      <c r="J8" s="703"/>
      <c r="K8" s="703"/>
      <c r="L8" s="703"/>
      <c r="M8" s="703"/>
      <c r="N8" s="703"/>
      <c r="O8" s="703"/>
      <c r="P8" s="703"/>
      <c r="Q8" s="703"/>
      <c r="R8" s="703"/>
      <c r="S8" s="703"/>
      <c r="T8" s="703"/>
      <c r="U8" s="703"/>
      <c r="V8" s="703"/>
    </row>
    <row r="9" spans="1:22" ht="15.5" x14ac:dyDescent="0.25">
      <c r="A9" s="480">
        <v>7</v>
      </c>
      <c r="B9" s="703" t="s">
        <v>280</v>
      </c>
      <c r="C9" s="703"/>
      <c r="D9" s="703"/>
      <c r="E9" s="703"/>
      <c r="F9" s="703"/>
      <c r="G9" s="703"/>
      <c r="H9" s="703"/>
      <c r="I9" s="703"/>
      <c r="J9" s="703"/>
      <c r="K9" s="703"/>
      <c r="L9" s="703"/>
      <c r="M9" s="703"/>
      <c r="N9" s="703"/>
      <c r="O9" s="703"/>
      <c r="P9" s="703"/>
      <c r="Q9" s="703"/>
      <c r="R9" s="703"/>
      <c r="S9" s="703"/>
      <c r="T9" s="703"/>
      <c r="U9" s="703"/>
      <c r="V9" s="703"/>
    </row>
    <row r="10" spans="1:22" ht="15.5" x14ac:dyDescent="0.25">
      <c r="A10" s="480">
        <v>8</v>
      </c>
      <c r="B10" s="703" t="s">
        <v>282</v>
      </c>
      <c r="C10" s="703"/>
      <c r="D10" s="703"/>
      <c r="E10" s="703"/>
      <c r="F10" s="703"/>
      <c r="G10" s="703"/>
      <c r="H10" s="703"/>
      <c r="I10" s="703"/>
      <c r="J10" s="703"/>
      <c r="K10" s="703"/>
      <c r="L10" s="703"/>
      <c r="M10" s="703"/>
      <c r="N10" s="703"/>
      <c r="O10" s="703"/>
      <c r="P10" s="703"/>
      <c r="Q10" s="703"/>
      <c r="R10" s="703"/>
      <c r="S10" s="703"/>
      <c r="T10" s="703"/>
      <c r="U10" s="703"/>
      <c r="V10" s="703"/>
    </row>
  </sheetData>
  <sheetProtection selectLockedCells="1"/>
  <mergeCells count="9">
    <mergeCell ref="B9:V9"/>
    <mergeCell ref="B10:V10"/>
    <mergeCell ref="A1:R1"/>
    <mergeCell ref="B4:V4"/>
    <mergeCell ref="B3:V3"/>
    <mergeCell ref="B7:V7"/>
    <mergeCell ref="B6:V6"/>
    <mergeCell ref="B5:V5"/>
    <mergeCell ref="B8:V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J195"/>
  <sheetViews>
    <sheetView showGridLines="0" view="pageBreakPreview" zoomScaleNormal="75" zoomScaleSheetLayoutView="100" workbookViewId="0">
      <selection activeCell="D14" sqref="D14"/>
    </sheetView>
  </sheetViews>
  <sheetFormatPr defaultColWidth="9.1796875" defaultRowHeight="12.5" x14ac:dyDescent="0.25"/>
  <cols>
    <col min="1" max="1" width="3.1796875" style="121" customWidth="1"/>
    <col min="2" max="2" width="3.81640625" style="121" customWidth="1"/>
    <col min="3" max="3" width="11.453125" style="121" bestFit="1" customWidth="1"/>
    <col min="4" max="4" width="10.81640625" style="121" customWidth="1"/>
    <col min="5" max="5" width="11" style="121" customWidth="1"/>
    <col min="6" max="6" width="10.7265625" style="121" hidden="1" customWidth="1"/>
    <col min="7" max="7" width="10.7265625" style="121" customWidth="1"/>
    <col min="8" max="8" width="10.54296875" style="121" customWidth="1"/>
    <col min="9" max="9" width="9.7265625" style="121" hidden="1" customWidth="1"/>
    <col min="10" max="10" width="12.26953125" style="121" customWidth="1"/>
    <col min="11" max="11" width="12.453125" style="121" customWidth="1"/>
    <col min="12" max="12" width="10" style="121" customWidth="1"/>
    <col min="13" max="13" width="11.453125" style="121" hidden="1" customWidth="1"/>
    <col min="14" max="14" width="11.7265625" style="121" hidden="1" customWidth="1"/>
    <col min="15" max="15" width="14" style="121" customWidth="1"/>
    <col min="16" max="16" width="12.1796875" style="121" customWidth="1"/>
    <col min="17" max="17" width="13" style="121" customWidth="1"/>
    <col min="18" max="18" width="12.1796875" style="121" customWidth="1"/>
    <col min="19" max="19" width="10.1796875" style="121" hidden="1" customWidth="1"/>
    <col min="20" max="20" width="10.7265625" style="121" customWidth="1"/>
    <col min="21" max="21" width="10.7265625" style="121" hidden="1" customWidth="1"/>
    <col min="22" max="22" width="11.453125" style="121" customWidth="1"/>
    <col min="23" max="23" width="18.1796875" style="121" hidden="1" customWidth="1"/>
    <col min="24" max="24" width="14.453125" style="121" hidden="1" customWidth="1"/>
    <col min="25" max="25" width="21.1796875" style="121" hidden="1" customWidth="1"/>
    <col min="26" max="26" width="15.54296875" style="121" hidden="1" customWidth="1"/>
    <col min="27" max="27" width="15.81640625" style="121" hidden="1" customWidth="1"/>
    <col min="28" max="28" width="14.7265625" style="121" hidden="1" customWidth="1"/>
    <col min="29" max="29" width="10.81640625" style="121" hidden="1" customWidth="1"/>
    <col min="30" max="30" width="27.453125" style="121" hidden="1" customWidth="1"/>
    <col min="31" max="31" width="22.81640625" style="121" hidden="1" customWidth="1"/>
    <col min="32" max="32" width="24" style="121" hidden="1" customWidth="1"/>
    <col min="33" max="33" width="22.1796875" style="121" hidden="1" customWidth="1"/>
    <col min="34" max="34" width="23" style="121" hidden="1" customWidth="1"/>
    <col min="35" max="97" width="9.1796875" style="121" customWidth="1"/>
    <col min="98" max="16384" width="9.1796875" style="121"/>
  </cols>
  <sheetData>
    <row r="1" spans="1:36" ht="11.25" customHeight="1" x14ac:dyDescent="0.5">
      <c r="A1" s="268"/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36" ht="18" x14ac:dyDescent="0.4">
      <c r="A2" s="505"/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5"/>
      <c r="Q2" s="505"/>
      <c r="R2" s="505"/>
      <c r="S2" s="505"/>
      <c r="T2" s="505"/>
      <c r="U2" s="505"/>
      <c r="V2" s="505"/>
    </row>
    <row r="3" spans="1:36" ht="20" x14ac:dyDescent="0.4">
      <c r="A3" s="513" t="s">
        <v>244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  <c r="V3" s="513"/>
    </row>
    <row r="5" spans="1:36" ht="12" customHeight="1" x14ac:dyDescent="0.25"/>
    <row r="6" spans="1:36" ht="20" x14ac:dyDescent="0.4">
      <c r="A6" s="513" t="s">
        <v>232</v>
      </c>
      <c r="B6" s="513"/>
      <c r="C6" s="513"/>
      <c r="D6" s="513"/>
      <c r="E6" s="513"/>
      <c r="F6" s="513"/>
      <c r="G6" s="513"/>
      <c r="H6" s="513"/>
      <c r="I6" s="513"/>
      <c r="J6" s="513"/>
      <c r="K6" s="513"/>
      <c r="L6" s="513"/>
      <c r="M6" s="513"/>
      <c r="N6" s="513"/>
      <c r="O6" s="513"/>
      <c r="P6" s="513"/>
      <c r="Q6" s="513"/>
      <c r="R6" s="513"/>
      <c r="S6" s="513"/>
      <c r="T6" s="513"/>
      <c r="U6" s="513"/>
      <c r="V6" s="513"/>
      <c r="AJ6" s="106"/>
    </row>
    <row r="7" spans="1:36" ht="12" customHeight="1" thickBot="1" x14ac:dyDescent="0.45">
      <c r="A7" s="269"/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AJ7" s="106"/>
    </row>
    <row r="8" spans="1:36" ht="16.5" customHeight="1" x14ac:dyDescent="0.3">
      <c r="A8" s="106"/>
      <c r="B8" s="106"/>
      <c r="C8" s="380" t="s">
        <v>187</v>
      </c>
      <c r="D8" s="538"/>
      <c r="E8" s="539"/>
      <c r="F8" s="539"/>
      <c r="G8" s="540"/>
      <c r="H8" s="199" t="s">
        <v>185</v>
      </c>
      <c r="I8" s="525"/>
      <c r="J8" s="525"/>
      <c r="K8" s="525"/>
      <c r="L8" s="525"/>
      <c r="M8" s="525"/>
      <c r="N8" s="525"/>
      <c r="O8" s="201" t="s">
        <v>189</v>
      </c>
      <c r="P8" s="525"/>
      <c r="Q8" s="525"/>
      <c r="R8" s="525"/>
      <c r="S8" s="525"/>
      <c r="T8" s="525"/>
      <c r="U8" s="525"/>
      <c r="V8" s="541"/>
    </row>
    <row r="9" spans="1:36" ht="15" customHeight="1" thickBot="1" x14ac:dyDescent="0.35">
      <c r="A9" s="106"/>
      <c r="B9" s="106"/>
      <c r="C9" s="381" t="s">
        <v>186</v>
      </c>
      <c r="D9" s="545"/>
      <c r="E9" s="546"/>
      <c r="F9" s="546"/>
      <c r="G9" s="547"/>
      <c r="H9" s="200" t="s">
        <v>258</v>
      </c>
      <c r="I9" s="202"/>
      <c r="J9" s="517"/>
      <c r="K9" s="517"/>
      <c r="L9" s="517"/>
      <c r="M9" s="203"/>
      <c r="N9" s="203"/>
      <c r="O9" s="382" t="s">
        <v>259</v>
      </c>
      <c r="P9" s="517"/>
      <c r="Q9" s="517"/>
      <c r="R9" s="517"/>
      <c r="S9" s="517"/>
      <c r="T9" s="517"/>
      <c r="U9" s="517"/>
      <c r="V9" s="518"/>
    </row>
    <row r="10" spans="1:36" ht="4.5" customHeight="1" thickBot="1" x14ac:dyDescent="0.3">
      <c r="A10" s="106"/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</row>
    <row r="11" spans="1:36" ht="13.5" customHeight="1" thickBot="1" x14ac:dyDescent="0.3">
      <c r="A11" s="106"/>
      <c r="B11" s="106"/>
      <c r="C11" s="519" t="s">
        <v>124</v>
      </c>
      <c r="D11" s="520"/>
      <c r="E11" s="543" t="s">
        <v>98</v>
      </c>
      <c r="F11" s="544"/>
      <c r="G11" s="544"/>
      <c r="H11" s="521" t="s">
        <v>190</v>
      </c>
      <c r="I11" s="542"/>
      <c r="J11" s="522"/>
      <c r="K11" s="521" t="s">
        <v>78</v>
      </c>
      <c r="L11" s="522"/>
      <c r="M11" s="106"/>
      <c r="O11" s="523" t="s">
        <v>116</v>
      </c>
      <c r="P11" s="524"/>
      <c r="Q11" s="523" t="s">
        <v>108</v>
      </c>
      <c r="R11" s="524"/>
      <c r="T11" s="514" t="s">
        <v>118</v>
      </c>
      <c r="U11" s="515"/>
      <c r="V11" s="516"/>
    </row>
    <row r="12" spans="1:36" ht="13.5" customHeight="1" thickBot="1" x14ac:dyDescent="0.5">
      <c r="A12" s="106"/>
      <c r="B12" s="106"/>
      <c r="C12" s="106"/>
      <c r="D12" s="106"/>
      <c r="E12" s="105"/>
      <c r="F12" s="175"/>
      <c r="G12" s="58"/>
      <c r="J12" s="101"/>
      <c r="L12" s="178" t="str">
        <f>IF(G16="","",(0.7*(G16)^2)+(0.3*G16))</f>
        <v/>
      </c>
      <c r="M12" s="106"/>
      <c r="N12" s="106"/>
      <c r="P12" s="270" t="str">
        <f>IF(OR(L14="",L16=""),"",L14/(G16*L16*G14*8760))</f>
        <v/>
      </c>
      <c r="Q12" s="176" t="s">
        <v>109</v>
      </c>
      <c r="R12" s="271" t="str">
        <f>IF(T21="","",MAX(T21:T194))</f>
        <v/>
      </c>
      <c r="T12" s="176" t="s">
        <v>109</v>
      </c>
      <c r="U12" s="272"/>
      <c r="V12" s="273" t="str">
        <f>IF(Q21="","",MAX(Q21:Q194))</f>
        <v/>
      </c>
    </row>
    <row r="13" spans="1:36" ht="13.5" customHeight="1" thickBot="1" x14ac:dyDescent="0.3">
      <c r="A13" s="106"/>
      <c r="B13" s="106"/>
      <c r="C13" s="514" t="s">
        <v>43</v>
      </c>
      <c r="D13" s="516"/>
      <c r="E13" s="523" t="s">
        <v>4</v>
      </c>
      <c r="F13" s="524"/>
      <c r="G13" s="524"/>
      <c r="H13" s="521" t="s">
        <v>191</v>
      </c>
      <c r="I13" s="542"/>
      <c r="J13" s="522"/>
      <c r="K13" s="523" t="s">
        <v>107</v>
      </c>
      <c r="L13" s="524"/>
      <c r="M13" s="106"/>
      <c r="N13" s="106"/>
      <c r="O13" s="521" t="s">
        <v>195</v>
      </c>
      <c r="P13" s="522"/>
      <c r="Q13" s="176" t="s">
        <v>110</v>
      </c>
      <c r="R13" s="274" t="str">
        <f>IF(R12="","",VLOOKUP(R12,T21:X194,5,FALSE))</f>
        <v/>
      </c>
      <c r="T13" s="176" t="s">
        <v>110</v>
      </c>
      <c r="U13" s="106"/>
      <c r="V13" s="274" t="str">
        <f>IF(V12="","",VLOOKUP(V12,Q21:X194,8,FALSE))</f>
        <v/>
      </c>
      <c r="X13" s="379" t="s">
        <v>249</v>
      </c>
      <c r="Y13" s="379" t="s">
        <v>250</v>
      </c>
    </row>
    <row r="14" spans="1:36" ht="13.5" customHeight="1" thickBot="1" x14ac:dyDescent="0.3">
      <c r="A14" s="106"/>
      <c r="B14" s="106"/>
      <c r="C14" s="177" t="s">
        <v>42</v>
      </c>
      <c r="D14" s="26"/>
      <c r="E14" s="105"/>
      <c r="F14" s="175"/>
      <c r="G14" s="58"/>
      <c r="J14" s="344" t="s">
        <v>249</v>
      </c>
      <c r="L14" s="276">
        <f>SUM(V21:V124)</f>
        <v>0</v>
      </c>
      <c r="M14" s="106"/>
      <c r="N14" s="106"/>
      <c r="P14" s="180" t="str">
        <f>IF(L16="","",SUM(AB20:AC43))</f>
        <v/>
      </c>
      <c r="Q14" s="176" t="s">
        <v>111</v>
      </c>
      <c r="R14" s="274" t="str">
        <f>IF(R13="","",VLOOKUP(R13,X21:Y194,2,FALSE))</f>
        <v/>
      </c>
      <c r="T14" s="176" t="s">
        <v>111</v>
      </c>
      <c r="U14" s="106"/>
      <c r="V14" s="274" t="str">
        <f>IF(V13="","",VLOOKUP(V13,X21:Y194,2,FALSE))</f>
        <v/>
      </c>
      <c r="X14" s="277" t="b">
        <f>IF(AND(BT!$P$14&gt;=0,BT!$P$14&lt;17),15,(IF(AND(BT!$P$14&gt;=18,BT!$P$14&lt;34),30,(IF(AND(BT!$P$14&gt;=35,BT!$P$14&lt;52),45,(IF(AND(BT!$P$14&gt;=53,BT!$P$14&lt;87),75,(IF(AND(BT!$P$14&gt;=88,BT!$P$14&lt;130),112.5,(IF(AND(BT!$P$14&gt;=131,BT!$P$14&lt;175),150)))))))))))</f>
        <v>0</v>
      </c>
      <c r="Y14" s="277" t="b">
        <f>IF(AND(BT!$P$14&gt;=0,BT!$P$14&lt;18),15,(IF(AND(BT!$P$14&gt;=19,BT!$P$14&lt;36),30,(IF(AND(BT!$P$14&gt;=37,BT!$P$14&lt;54),45,(IF(AND(BT!$P$14&gt;=55,BT!$P$14&lt;90),75,(IF(AND(BT!$P$14&gt;=91,BT!$P$14&lt;135),112.5,(IF(AND(BT!$P$14&gt;=136,BT!$P$14&lt;180),150)))))))))))</f>
        <v>0</v>
      </c>
    </row>
    <row r="15" spans="1:36" ht="13.5" customHeight="1" thickBot="1" x14ac:dyDescent="0.3">
      <c r="A15" s="106"/>
      <c r="B15" s="106"/>
      <c r="C15" s="523" t="s">
        <v>44</v>
      </c>
      <c r="D15" s="523"/>
      <c r="E15" s="523" t="s">
        <v>3</v>
      </c>
      <c r="F15" s="524"/>
      <c r="G15" s="524"/>
      <c r="H15" s="521" t="s">
        <v>192</v>
      </c>
      <c r="I15" s="542"/>
      <c r="J15" s="522"/>
      <c r="K15" s="523" t="s">
        <v>115</v>
      </c>
      <c r="L15" s="524"/>
      <c r="M15" s="106"/>
      <c r="N15" s="106"/>
      <c r="O15" s="523" t="s">
        <v>117</v>
      </c>
      <c r="P15" s="524"/>
      <c r="Q15" s="514" t="s">
        <v>112</v>
      </c>
      <c r="R15" s="516"/>
      <c r="T15" s="106"/>
      <c r="U15" s="106"/>
      <c r="V15" s="106"/>
    </row>
    <row r="16" spans="1:36" ht="13" thickBot="1" x14ac:dyDescent="0.3">
      <c r="A16" s="106"/>
      <c r="B16" s="106"/>
      <c r="C16" s="177" t="s">
        <v>42</v>
      </c>
      <c r="D16" s="26"/>
      <c r="E16" s="106"/>
      <c r="G16" s="58"/>
      <c r="H16" s="179" t="s">
        <v>193</v>
      </c>
      <c r="J16" s="58"/>
      <c r="L16" s="276" t="str">
        <f>IF(OR(H20="",H32=""),"",SUM(F20:G43))</f>
        <v/>
      </c>
      <c r="M16" s="106"/>
      <c r="N16" s="278"/>
      <c r="O16" s="176" t="s">
        <v>143</v>
      </c>
      <c r="P16" s="279" t="str">
        <f>IF(OR($J$14="d",$J$14="D"),X14,(IF(OR($J$14="n",$J$14="N"),Y14,"")))</f>
        <v/>
      </c>
      <c r="Q16" s="176" t="s">
        <v>94</v>
      </c>
      <c r="R16" s="280" t="str">
        <f>IF(AND(O21="",O32=""),"",MAX(Z21:Z43))</f>
        <v/>
      </c>
      <c r="T16" s="106"/>
      <c r="U16" s="106"/>
      <c r="V16" s="106"/>
      <c r="AB16" s="106"/>
    </row>
    <row r="17" spans="1:34" ht="9" customHeight="1" thickBot="1" x14ac:dyDescent="0.3">
      <c r="A17" s="106"/>
      <c r="B17" s="106"/>
      <c r="C17" s="105"/>
      <c r="D17" s="105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</row>
    <row r="18" spans="1:34" ht="20.25" customHeight="1" thickBot="1" x14ac:dyDescent="0.3">
      <c r="A18" s="106"/>
      <c r="B18" s="106"/>
      <c r="C18" s="554" t="s">
        <v>0</v>
      </c>
      <c r="D18" s="555"/>
      <c r="E18" s="526" t="s">
        <v>80</v>
      </c>
      <c r="F18" s="181"/>
      <c r="G18" s="528" t="s">
        <v>255</v>
      </c>
      <c r="H18" s="536" t="s">
        <v>97</v>
      </c>
      <c r="J18" s="528" t="s">
        <v>40</v>
      </c>
      <c r="K18" s="528" t="s">
        <v>79</v>
      </c>
      <c r="L18" s="526" t="s">
        <v>74</v>
      </c>
      <c r="M18" s="281"/>
      <c r="N18" s="281"/>
      <c r="O18" s="528" t="s">
        <v>194</v>
      </c>
      <c r="P18" s="528" t="s">
        <v>145</v>
      </c>
      <c r="Q18" s="528" t="s">
        <v>75</v>
      </c>
      <c r="R18" s="528" t="s">
        <v>256</v>
      </c>
      <c r="S18" s="534" t="s">
        <v>95</v>
      </c>
      <c r="T18" s="526" t="s">
        <v>89</v>
      </c>
      <c r="U18" s="532" t="s">
        <v>1</v>
      </c>
      <c r="V18" s="526" t="s">
        <v>96</v>
      </c>
    </row>
    <row r="19" spans="1:34" ht="17.25" customHeight="1" thickBot="1" x14ac:dyDescent="0.3">
      <c r="A19" s="106"/>
      <c r="B19" s="106"/>
      <c r="C19" s="282" t="s">
        <v>36</v>
      </c>
      <c r="D19" s="282" t="s">
        <v>37</v>
      </c>
      <c r="E19" s="527"/>
      <c r="F19" s="183"/>
      <c r="G19" s="529"/>
      <c r="H19" s="537"/>
      <c r="J19" s="529"/>
      <c r="K19" s="529"/>
      <c r="L19" s="527"/>
      <c r="M19" s="283"/>
      <c r="N19" s="283"/>
      <c r="O19" s="529"/>
      <c r="P19" s="529"/>
      <c r="Q19" s="529"/>
      <c r="R19" s="529"/>
      <c r="S19" s="535"/>
      <c r="T19" s="527"/>
      <c r="U19" s="533"/>
      <c r="V19" s="527"/>
      <c r="W19" s="284"/>
      <c r="X19" s="284" t="s">
        <v>110</v>
      </c>
      <c r="Y19" s="284" t="s">
        <v>111</v>
      </c>
      <c r="Z19" s="284" t="s">
        <v>113</v>
      </c>
      <c r="AB19" s="530" t="s">
        <v>129</v>
      </c>
      <c r="AC19" s="531"/>
      <c r="AE19" s="285" t="s">
        <v>81</v>
      </c>
      <c r="AF19" s="286" t="s">
        <v>82</v>
      </c>
      <c r="AG19" s="287" t="s">
        <v>114</v>
      </c>
      <c r="AH19" s="286" t="s">
        <v>82</v>
      </c>
    </row>
    <row r="20" spans="1:34" ht="12" customHeight="1" thickTop="1" x14ac:dyDescent="0.25">
      <c r="A20" s="548" t="s">
        <v>106</v>
      </c>
      <c r="B20" s="551" t="s">
        <v>39</v>
      </c>
      <c r="C20" s="556" t="s">
        <v>99</v>
      </c>
      <c r="D20" s="557"/>
      <c r="E20" s="288"/>
      <c r="F20" s="289" t="str">
        <f>IF(OR(E20="",$G$12=""),"",E20*$G$12*($J$12/100+1)^($J$16-1))</f>
        <v/>
      </c>
      <c r="G20" s="290"/>
      <c r="H20" s="291" t="s">
        <v>119</v>
      </c>
      <c r="J20" s="292" t="s">
        <v>103</v>
      </c>
      <c r="K20" s="292" t="s">
        <v>103</v>
      </c>
      <c r="L20" s="293" t="s">
        <v>104</v>
      </c>
      <c r="M20" s="294" t="s">
        <v>102</v>
      </c>
      <c r="N20" s="294" t="s">
        <v>102</v>
      </c>
      <c r="O20" s="295" t="s">
        <v>103</v>
      </c>
      <c r="P20" s="296" t="s">
        <v>101</v>
      </c>
      <c r="Q20" s="296" t="s">
        <v>101</v>
      </c>
      <c r="R20" s="296" t="s">
        <v>102</v>
      </c>
      <c r="S20" s="296" t="s">
        <v>102</v>
      </c>
      <c r="T20" s="296" t="s">
        <v>102</v>
      </c>
      <c r="U20" s="293" t="s">
        <v>101</v>
      </c>
      <c r="V20" s="297" t="s">
        <v>102</v>
      </c>
      <c r="W20" s="284"/>
      <c r="X20" s="298"/>
      <c r="Y20" s="284"/>
      <c r="Z20" s="284"/>
      <c r="AB20" s="299" t="str">
        <f>IF(OR(E20="",$G$12=""),"",E20*$G$12*($J$12/100+1)^4)</f>
        <v/>
      </c>
      <c r="AC20" s="300">
        <f>G20</f>
        <v>0</v>
      </c>
      <c r="AE20" s="301"/>
      <c r="AF20" s="302"/>
      <c r="AG20" s="303" t="s">
        <v>5</v>
      </c>
      <c r="AH20" s="302" t="s">
        <v>83</v>
      </c>
    </row>
    <row r="21" spans="1:34" ht="12" customHeight="1" x14ac:dyDescent="0.25">
      <c r="A21" s="549"/>
      <c r="B21" s="552"/>
      <c r="C21" s="304" t="s">
        <v>100</v>
      </c>
      <c r="D21" s="29"/>
      <c r="E21" s="40"/>
      <c r="F21" s="102" t="str">
        <f>IF(OR(E21="",$G$12=""),"",E21*$G$12*($J$12/100+1)^($J$16-1))</f>
        <v/>
      </c>
      <c r="G21" s="45"/>
      <c r="H21" s="306" t="str">
        <f>IF(AND(E21="",G21=""),"",SUM(F21:$G$31))</f>
        <v/>
      </c>
      <c r="J21" s="42"/>
      <c r="K21" s="42"/>
      <c r="L21" s="307" t="str">
        <f>IF(OR(J21="",K21=""),"",IF(J21="3",VLOOKUP(M21,'K% (Rede Convencional)'!$B$18:$M$29,8),(IF(J21="2",VLOOKUP(N21,'K% (Rede Convencional)'!$B$18:$M$29,9),(IF(J21="1",VLOOKUP(N21,'K% (Rede Convencional)'!$B$18:$M$29,10),(IF(J21="13",VLOOKUP(N21,'K% (Rede Convencional)'!$B$18:$M$29,11),(IF(J21="12",VLOOKUP(N21,'K% (Rede Convencional)'!$B$18:$M$29,12),0))))))))))</f>
        <v/>
      </c>
      <c r="M21" s="308" t="str">
        <f>IF(K21="4","a",IF(K21="2","b",IF(K21="1/0","d",IF(K21="4/0","f",IF(K21="336,4","i","")))))</f>
        <v/>
      </c>
      <c r="N21" s="308" t="str">
        <f>IF(K21="","",IF(K21="4 (4)","a",IF(OR(K21="2 (4)",K21="2 (2)"),VLOOKUP(K21,BT!$AE$21:$AF$22,2,FALSE),IF(OR(K21="1/0 (4)",K21="1/0 (2)"),VLOOKUP(K21,BT!$AE$24:$AF$25,2,FALSE),IF(OR(K21="4/0 (4)",K21="4/0 (2)",K21="4/0 (1/0)"),VLOOKUP(K21,BT!$AE$27:$AF$29,2,FALSE),IF(OR(K21="336,4 (4)",K21="336,4 (2)",K21="336,4 (1/0)",K21="336,4 (4/0)"),VLOOKUP(K21,BT!$AE$31:$AF$34,2,FALSE),0))))))</f>
        <v/>
      </c>
      <c r="O21" s="45"/>
      <c r="P21" s="309" t="str">
        <f t="shared" ref="P21:P43" si="0">IF(OR(H21="",L21="",O21=""),"",L21*H21*O21)</f>
        <v/>
      </c>
      <c r="Q21" s="309" t="str">
        <f>IF(P21="","",SUM($P$20:P21))</f>
        <v/>
      </c>
      <c r="R21" s="309" t="str">
        <f t="shared" ref="R21:R43" si="1">IF(H21="","",IF(J21="3",H21*1000/($D$14*SQRT(3)),IF(J21="2",H21*1000*SQRT(3)/($D$14*2),IF(J21="1",H21*1000*SQRT(3)/$D$14,IF(J21="13",H21*1000/$D$16,IF(J21="12",H21*1000*2/$D$16,"erro"))))))</f>
        <v/>
      </c>
      <c r="S21" s="310" t="str">
        <f>IF(OR(M21="a",N21="a"),VLOOKUP("a",'Características dos Cabos'!$D$25:$L$29,9),IF(OR(M21="b",M21="c",N21="b",N21="c"),VLOOKUP("b",'Características dos Cabos'!$D$25:$L$29,9),IF(OR(M21="d",M21="e",N21="d",N21="e"),VLOOKUP("c",'Características dos Cabos'!$D$25:$L$29,9),IF(OR(M21="f",M21="g",M21="h",N21="f",N21="g",N21="h"),VLOOKUP("d",'Características dos Cabos'!$D$25:$L$29,9),IF(OR(M21="i",M21="j",M21="l",M21="m",N21="i",N21="j",N21="l",N21="m"),VLOOKUP("e",'Características dos Cabos'!$D$25:$L$29,9),"")))))</f>
        <v/>
      </c>
      <c r="T21" s="309" t="str">
        <f>IF(S21="","",R21*100/S21)</f>
        <v/>
      </c>
      <c r="U21" s="310" t="str">
        <f>IF(OR(M21="a",N21="a"),VLOOKUP("a",'Características dos Cabos'!$D$25:$L$29,3),IF(OR(M21="b",M21="c",N21="b",N21="c"),VLOOKUP("b",'Características dos Cabos'!$D$25:$L$29,3),IF(OR(M21="d",M21="e",N21="d",N21="e"),VLOOKUP("c",'Características dos Cabos'!$D$25:$L$29,3),IF(OR(M21="f",M21="g",M21="h",N21="f",N21="g",N21="h"),VLOOKUP("d",'Características dos Cabos'!$D$25:$L$29,3),IF(OR(M21="i",M21="j",M21="l",M21="m",N21="i",N21="j",N21="l",N21="m"),VLOOKUP("e",'Características dos Cabos'!$D$25:$L$29,3),"")))))</f>
        <v/>
      </c>
      <c r="V21" s="311" t="str">
        <f t="shared" ref="V21:V43" si="2">IF(OR(O21="",$G$16="",H21="",N21=""),"",IF(J21="3",3*$L$12*U21*O21/1000*R21^2*8.76,IF(OR(J21="2",J21="13"),2*$L$12*U21*O21/1000*R21^2*8.76,IF(OR(J21="1",J21="12"),$L$12*U21*O21/1000*R21^2*8.76))))</f>
        <v/>
      </c>
      <c r="W21" s="284"/>
      <c r="X21" s="298">
        <f>D21</f>
        <v>0</v>
      </c>
      <c r="Y21" s="298">
        <f>K21</f>
        <v>0</v>
      </c>
      <c r="Z21" s="284">
        <f>SUM($O$21:O21)</f>
        <v>0</v>
      </c>
      <c r="AB21" s="299" t="str">
        <f t="shared" ref="AB21:AB43" si="3">IF(OR(E21="",$G$12=""),"",E21*$G$12*($J$12/100+1)^4)</f>
        <v/>
      </c>
      <c r="AC21" s="300">
        <f t="shared" ref="AC21:AC43" si="4">G21</f>
        <v>0</v>
      </c>
      <c r="AE21" s="301" t="s">
        <v>64</v>
      </c>
      <c r="AF21" s="302" t="s">
        <v>83</v>
      </c>
      <c r="AG21" s="303" t="s">
        <v>2</v>
      </c>
      <c r="AH21" s="302" t="s">
        <v>85</v>
      </c>
    </row>
    <row r="22" spans="1:34" ht="12" customHeight="1" x14ac:dyDescent="0.25">
      <c r="A22" s="549"/>
      <c r="B22" s="552"/>
      <c r="C22" s="27"/>
      <c r="D22" s="29"/>
      <c r="E22" s="40"/>
      <c r="F22" s="102" t="str">
        <f t="shared" ref="F22:F85" si="5">IF(OR(E22="",$G$12=""),"",E22*$G$12*($J$12/100+1)^($J$16-1))</f>
        <v/>
      </c>
      <c r="G22" s="45"/>
      <c r="H22" s="306" t="str">
        <f>IF(AND(E22="",G22=""),"",SUM(F22:$G$31))</f>
        <v/>
      </c>
      <c r="J22" s="42"/>
      <c r="K22" s="42"/>
      <c r="L22" s="307" t="str">
        <f>IF(OR(J22="",K22=""),"",IF(J22="3",VLOOKUP(M22,'K% (Rede Convencional)'!$B$18:$M$29,8),(IF(J22="2",VLOOKUP(N22,'K% (Rede Convencional)'!$B$18:$M$29,9),(IF(J22="1",VLOOKUP(N22,'K% (Rede Convencional)'!$B$18:$M$29,10),(IF(J22="13",VLOOKUP(N22,'K% (Rede Convencional)'!$B$18:$M$29,11),(IF(J22="12",VLOOKUP(N22,'K% (Rede Convencional)'!$B$18:$M$29,12),0))))))))))</f>
        <v/>
      </c>
      <c r="M22" s="308" t="str">
        <f t="shared" ref="M22:M85" si="6">IF(K22="4","a",IF(K22="2","b",IF(K22="1/0","d",IF(K22="4/0","f",IF(K22="336,4","i","")))))</f>
        <v/>
      </c>
      <c r="N22" s="308" t="str">
        <f>IF(K22="","",IF(K22="4 (4)","a",IF(OR(K22="2 (4)",K22="2 (2)"),VLOOKUP(K22,BT!$AE$21:$AF$22,2,FALSE),IF(OR(K22="1/0 (4)",K22="1/0 (2)"),VLOOKUP(K22,BT!$AE$24:$AF$25,2,FALSE),IF(OR(K22="4/0 (4)",K22="4/0 (2)",K22="4/0 (1/0)"),VLOOKUP(K22,BT!$AE$27:$AF$29,2,FALSE),IF(OR(K22="336,4 (4)",K22="336,4 (2)",K22="336,4 (1/0)",K22="336,4 (4/0)"),VLOOKUP(K22,BT!$AE$31:$AF$34,2,FALSE),0))))))</f>
        <v/>
      </c>
      <c r="O22" s="45"/>
      <c r="P22" s="309" t="str">
        <f t="shared" si="0"/>
        <v/>
      </c>
      <c r="Q22" s="309" t="str">
        <f>IF(P22="","",SUM($P$20:P22))</f>
        <v/>
      </c>
      <c r="R22" s="309" t="str">
        <f t="shared" si="1"/>
        <v/>
      </c>
      <c r="S22" s="310" t="str">
        <f>IF(OR(M22="a",N22="a"),VLOOKUP("a",'Características dos Cabos'!$D$25:$L$29,9),IF(OR(M22="b",M22="c",N22="b",N22="c"),VLOOKUP("b",'Características dos Cabos'!$D$25:$L$29,9),IF(OR(M22="d",M22="e",N22="d",N22="e"),VLOOKUP("c",'Características dos Cabos'!$D$25:$L$29,9),IF(OR(M22="f",M22="g",M22="h",N22="f",N22="g",N22="h"),VLOOKUP("d",'Características dos Cabos'!$D$25:$L$29,9),IF(OR(M22="i",M22="j",M22="l",M22="m",N22="i",N22="j",N22="l",N22="m"),VLOOKUP("e",'Características dos Cabos'!$D$25:$L$29,9),"")))))</f>
        <v/>
      </c>
      <c r="T22" s="309" t="str">
        <f t="shared" ref="T22:T85" si="7">IF(S22="","",R22*100/S22)</f>
        <v/>
      </c>
      <c r="U22" s="310" t="str">
        <f>IF(OR(M22="a",N22="a"),VLOOKUP("a",'Características dos Cabos'!$D$25:$L$29,3),IF(OR(M22="b",M22="c",N22="b",N22="c"),VLOOKUP("b",'Características dos Cabos'!$D$25:$L$29,3),IF(OR(M22="d",M22="e",N22="d",N22="e"),VLOOKUP("c",'Características dos Cabos'!$D$25:$L$29,3),IF(OR(M22="f",M22="g",M22="h",N22="f",N22="g",N22="h"),VLOOKUP("d",'Características dos Cabos'!$D$25:$L$29,3),IF(OR(M22="i",M22="j",M22="l",M22="m",N22="i",N22="j",N22="l",N22="m"),VLOOKUP("e",'Características dos Cabos'!$D$25:$L$29,3),"")))))</f>
        <v/>
      </c>
      <c r="V22" s="311" t="str">
        <f t="shared" si="2"/>
        <v/>
      </c>
      <c r="W22" s="284"/>
      <c r="X22" s="298">
        <f t="shared" ref="X22:X85" si="8">D22</f>
        <v>0</v>
      </c>
      <c r="Y22" s="298">
        <f t="shared" ref="Y22:Y85" si="9">K22</f>
        <v>0</v>
      </c>
      <c r="Z22" s="284">
        <f>SUM($O$21:O22)</f>
        <v>0</v>
      </c>
      <c r="AB22" s="299" t="str">
        <f t="shared" si="3"/>
        <v/>
      </c>
      <c r="AC22" s="300">
        <f t="shared" si="4"/>
        <v>0</v>
      </c>
      <c r="AE22" s="301" t="s">
        <v>63</v>
      </c>
      <c r="AF22" s="302" t="s">
        <v>84</v>
      </c>
      <c r="AG22" s="303" t="s">
        <v>25</v>
      </c>
      <c r="AH22" s="302" t="s">
        <v>87</v>
      </c>
    </row>
    <row r="23" spans="1:34" ht="12" customHeight="1" x14ac:dyDescent="0.25">
      <c r="A23" s="549"/>
      <c r="B23" s="552"/>
      <c r="C23" s="27"/>
      <c r="D23" s="29"/>
      <c r="E23" s="40"/>
      <c r="F23" s="102" t="str">
        <f t="shared" si="5"/>
        <v/>
      </c>
      <c r="G23" s="45"/>
      <c r="H23" s="306" t="str">
        <f>IF(AND(E23="",G23=""),"",SUM(F23:$G$31))</f>
        <v/>
      </c>
      <c r="J23" s="42"/>
      <c r="K23" s="42"/>
      <c r="L23" s="307" t="str">
        <f>IF(OR(J23="",K23=""),"",IF(J23="3",VLOOKUP(M23,'K% (Rede Convencional)'!$B$18:$M$29,8),(IF(J23="2",VLOOKUP(N23,'K% (Rede Convencional)'!$B$18:$M$29,9),(IF(J23="1",VLOOKUP(N23,'K% (Rede Convencional)'!$B$18:$M$29,10),(IF(J23="13",VLOOKUP(N23,'K% (Rede Convencional)'!$B$18:$M$29,11),(IF(J23="12",VLOOKUP(N23,'K% (Rede Convencional)'!$B$18:$M$29,12),0))))))))))</f>
        <v/>
      </c>
      <c r="M23" s="308" t="str">
        <f t="shared" si="6"/>
        <v/>
      </c>
      <c r="N23" s="308" t="str">
        <f>IF(K23="","",IF(K23="4 (4)","a",IF(OR(K23="2 (4)",K23="2 (2)"),VLOOKUP(K23,BT!$AE$21:$AF$22,2,FALSE),IF(OR(K23="1/0 (4)",K23="1/0 (2)"),VLOOKUP(K23,BT!$AE$24:$AF$25,2,FALSE),IF(OR(K23="4/0 (4)",K23="4/0 (2)",K23="4/0 (1/0)"),VLOOKUP(K23,BT!$AE$27:$AF$29,2,FALSE),IF(OR(K23="336,4 (4)",K23="336,4 (2)",K23="336,4 (1/0)",K23="336,4 (4/0)"),VLOOKUP(K23,BT!$AE$31:$AF$34,2,FALSE),0))))))</f>
        <v/>
      </c>
      <c r="O23" s="45"/>
      <c r="P23" s="309" t="str">
        <f t="shared" si="0"/>
        <v/>
      </c>
      <c r="Q23" s="309" t="str">
        <f>IF(P23="","",SUM($P$20:P23))</f>
        <v/>
      </c>
      <c r="R23" s="309" t="str">
        <f t="shared" si="1"/>
        <v/>
      </c>
      <c r="S23" s="310" t="str">
        <f>IF(OR(M23="a",N23="a"),VLOOKUP("a",'Características dos Cabos'!$D$25:$L$29,9),IF(OR(M23="b",M23="c",N23="b",N23="c"),VLOOKUP("b",'Características dos Cabos'!$D$25:$L$29,9),IF(OR(M23="d",M23="e",N23="d",N23="e"),VLOOKUP("c",'Características dos Cabos'!$D$25:$L$29,9),IF(OR(M23="f",M23="g",M23="h",N23="f",N23="g",N23="h"),VLOOKUP("d",'Características dos Cabos'!$D$25:$L$29,9),IF(OR(M23="i",M23="j",M23="l",M23="m",N23="i",N23="j",N23="l",N23="m"),VLOOKUP("e",'Características dos Cabos'!$D$25:$L$29,9),"")))))</f>
        <v/>
      </c>
      <c r="T23" s="309" t="str">
        <f t="shared" si="7"/>
        <v/>
      </c>
      <c r="U23" s="310" t="str">
        <f>IF(OR(M23="a",N23="a"),VLOOKUP("a",'Características dos Cabos'!$D$25:$L$29,3),IF(OR(M23="b",M23="c",N23="b",N23="c"),VLOOKUP("b",'Características dos Cabos'!$D$25:$L$29,3),IF(OR(M23="d",M23="e",N23="d",N23="e"),VLOOKUP("c",'Características dos Cabos'!$D$25:$L$29,3),IF(OR(M23="f",M23="g",M23="h",N23="f",N23="g",N23="h"),VLOOKUP("d",'Características dos Cabos'!$D$25:$L$29,3),IF(OR(M23="i",M23="j",M23="l",M23="m",N23="i",N23="j",N23="l",N23="m"),VLOOKUP("e",'Características dos Cabos'!$D$25:$L$29,3),"")))))</f>
        <v/>
      </c>
      <c r="V23" s="311" t="str">
        <f t="shared" si="2"/>
        <v/>
      </c>
      <c r="W23" s="284"/>
      <c r="X23" s="298">
        <f t="shared" si="8"/>
        <v>0</v>
      </c>
      <c r="Y23" s="298">
        <f t="shared" si="9"/>
        <v>0</v>
      </c>
      <c r="Z23" s="284">
        <f>SUM($O$21:O23)</f>
        <v>0</v>
      </c>
      <c r="AB23" s="299" t="str">
        <f t="shared" si="3"/>
        <v/>
      </c>
      <c r="AC23" s="300">
        <f t="shared" si="4"/>
        <v>0</v>
      </c>
      <c r="AE23" s="301"/>
      <c r="AF23" s="302"/>
      <c r="AG23" s="303" t="s">
        <v>120</v>
      </c>
      <c r="AH23" s="302" t="s">
        <v>91</v>
      </c>
    </row>
    <row r="24" spans="1:34" ht="12" customHeight="1" x14ac:dyDescent="0.25">
      <c r="A24" s="549"/>
      <c r="B24" s="552"/>
      <c r="C24" s="27"/>
      <c r="D24" s="29"/>
      <c r="E24" s="40"/>
      <c r="F24" s="102" t="str">
        <f t="shared" si="5"/>
        <v/>
      </c>
      <c r="G24" s="45"/>
      <c r="H24" s="306" t="str">
        <f>IF(AND(E24="",G24=""),"",SUM(F24:$G$31))</f>
        <v/>
      </c>
      <c r="J24" s="42"/>
      <c r="K24" s="42"/>
      <c r="L24" s="307" t="str">
        <f>IF(OR(J24="",K24=""),"",IF(J24="3",VLOOKUP(M24,'K% (Rede Convencional)'!$B$18:$M$29,8),(IF(J24="2",VLOOKUP(N24,'K% (Rede Convencional)'!$B$18:$M$29,9),(IF(J24="1",VLOOKUP(N24,'K% (Rede Convencional)'!$B$18:$M$29,10),(IF(J24="13",VLOOKUP(N24,'K% (Rede Convencional)'!$B$18:$M$29,11),(IF(J24="12",VLOOKUP(N24,'K% (Rede Convencional)'!$B$18:$M$29,12),0))))))))))</f>
        <v/>
      </c>
      <c r="M24" s="308" t="str">
        <f t="shared" si="6"/>
        <v/>
      </c>
      <c r="N24" s="308" t="str">
        <f>IF(K24="","",IF(K24="4 (4)","a",IF(OR(K24="2 (4)",K24="2 (2)"),VLOOKUP(K24,BT!$AE$21:$AF$22,2,FALSE),IF(OR(K24="1/0 (4)",K24="1/0 (2)"),VLOOKUP(K24,BT!$AE$24:$AF$25,2,FALSE),IF(OR(K24="4/0 (4)",K24="4/0 (2)",K24="4/0 (1/0)"),VLOOKUP(K24,BT!$AE$27:$AF$29,2,FALSE),IF(OR(K24="336,4 (4)",K24="336,4 (2)",K24="336,4 (1/0)",K24="336,4 (4/0)"),VLOOKUP(K24,BT!$AE$31:$AF$34,2,FALSE),0))))))</f>
        <v/>
      </c>
      <c r="O24" s="45"/>
      <c r="P24" s="309" t="str">
        <f t="shared" si="0"/>
        <v/>
      </c>
      <c r="Q24" s="309" t="str">
        <f>IF(P24="","",SUM($P$20:P24))</f>
        <v/>
      </c>
      <c r="R24" s="309" t="str">
        <f t="shared" si="1"/>
        <v/>
      </c>
      <c r="S24" s="310" t="str">
        <f>IF(OR(M24="a",N24="a"),VLOOKUP("a",'Características dos Cabos'!$D$25:$L$29,9),IF(OR(M24="b",M24="c",N24="b",N24="c"),VLOOKUP("b",'Características dos Cabos'!$D$25:$L$29,9),IF(OR(M24="d",M24="e",N24="d",N24="e"),VLOOKUP("c",'Características dos Cabos'!$D$25:$L$29,9),IF(OR(M24="f",M24="g",M24="h",N24="f",N24="g",N24="h"),VLOOKUP("d",'Características dos Cabos'!$D$25:$L$29,9),IF(OR(M24="i",M24="j",M24="l",M24="m",N24="i",N24="j",N24="l",N24="m"),VLOOKUP("e",'Características dos Cabos'!$D$25:$L$29,9),"")))))</f>
        <v/>
      </c>
      <c r="T24" s="309" t="str">
        <f t="shared" si="7"/>
        <v/>
      </c>
      <c r="U24" s="310" t="str">
        <f>IF(OR(M24="a",N24="a"),VLOOKUP("a",'Características dos Cabos'!$D$25:$L$29,3),IF(OR(M24="b",M24="c",N24="b",N24="c"),VLOOKUP("b",'Características dos Cabos'!$D$25:$L$29,3),IF(OR(M24="d",M24="e",N24="d",N24="e"),VLOOKUP("c",'Características dos Cabos'!$D$25:$L$29,3),IF(OR(M24="f",M24="g",M24="h",N24="f",N24="g",N24="h"),VLOOKUP("d",'Características dos Cabos'!$D$25:$L$29,3),IF(OR(M24="i",M24="j",M24="l",M24="m",N24="i",N24="j",N24="l",N24="m"),VLOOKUP("e",'Características dos Cabos'!$D$25:$L$29,3),"")))))</f>
        <v/>
      </c>
      <c r="V24" s="311" t="str">
        <f t="shared" si="2"/>
        <v/>
      </c>
      <c r="W24" s="284"/>
      <c r="X24" s="298">
        <f t="shared" si="8"/>
        <v>0</v>
      </c>
      <c r="Y24" s="298">
        <f t="shared" si="9"/>
        <v>0</v>
      </c>
      <c r="Z24" s="284">
        <f>SUM($O$21:O24)</f>
        <v>0</v>
      </c>
      <c r="AB24" s="299" t="str">
        <f t="shared" si="3"/>
        <v/>
      </c>
      <c r="AC24" s="300">
        <f t="shared" si="4"/>
        <v>0</v>
      </c>
      <c r="AE24" s="301" t="s">
        <v>65</v>
      </c>
      <c r="AF24" s="302" t="s">
        <v>85</v>
      </c>
      <c r="AG24" s="312"/>
      <c r="AH24" s="302"/>
    </row>
    <row r="25" spans="1:34" ht="12" customHeight="1" x14ac:dyDescent="0.25">
      <c r="A25" s="549"/>
      <c r="B25" s="552"/>
      <c r="C25" s="27"/>
      <c r="D25" s="29"/>
      <c r="E25" s="40"/>
      <c r="F25" s="102" t="str">
        <f t="shared" si="5"/>
        <v/>
      </c>
      <c r="G25" s="45"/>
      <c r="H25" s="306" t="str">
        <f>IF(AND(E25="",G25=""),"",SUM(F25:$G$31))</f>
        <v/>
      </c>
      <c r="J25" s="42"/>
      <c r="K25" s="42"/>
      <c r="L25" s="307" t="str">
        <f>IF(OR(J25="",K25=""),"",IF(J25="3",VLOOKUP(M25,'K% (Rede Convencional)'!$B$18:$M$29,8),(IF(J25="2",VLOOKUP(N25,'K% (Rede Convencional)'!$B$18:$M$29,9),(IF(J25="1",VLOOKUP(N25,'K% (Rede Convencional)'!$B$18:$M$29,10),(IF(J25="13",VLOOKUP(N25,'K% (Rede Convencional)'!$B$18:$M$29,11),(IF(J25="12",VLOOKUP(N25,'K% (Rede Convencional)'!$B$18:$M$29,12),0))))))))))</f>
        <v/>
      </c>
      <c r="M25" s="308" t="str">
        <f t="shared" si="6"/>
        <v/>
      </c>
      <c r="N25" s="308" t="str">
        <f>IF(K25="","",IF(K25="4 (4)","a",IF(OR(K25="2 (4)",K25="2 (2)"),VLOOKUP(K25,BT!$AE$21:$AF$22,2,FALSE),IF(OR(K25="1/0 (4)",K25="1/0 (2)"),VLOOKUP(K25,BT!$AE$24:$AF$25,2,FALSE),IF(OR(K25="4/0 (4)",K25="4/0 (2)",K25="4/0 (1/0)"),VLOOKUP(K25,BT!$AE$27:$AF$29,2,FALSE),IF(OR(K25="336,4 (4)",K25="336,4 (2)",K25="336,4 (1/0)",K25="336,4 (4/0)"),VLOOKUP(K25,BT!$AE$31:$AF$34,2,FALSE),0))))))</f>
        <v/>
      </c>
      <c r="O25" s="45"/>
      <c r="P25" s="309" t="str">
        <f t="shared" si="0"/>
        <v/>
      </c>
      <c r="Q25" s="309" t="str">
        <f>IF(P25="","",SUM($P$20:P25))</f>
        <v/>
      </c>
      <c r="R25" s="309" t="str">
        <f t="shared" si="1"/>
        <v/>
      </c>
      <c r="S25" s="310" t="str">
        <f>IF(OR(M25="a",N25="a"),VLOOKUP("a",'Características dos Cabos'!$D$25:$L$29,9),IF(OR(M25="b",M25="c",N25="b",N25="c"),VLOOKUP("b",'Características dos Cabos'!$D$25:$L$29,9),IF(OR(M25="d",M25="e",N25="d",N25="e"),VLOOKUP("c",'Características dos Cabos'!$D$25:$L$29,9),IF(OR(M25="f",M25="g",M25="h",N25="f",N25="g",N25="h"),VLOOKUP("d",'Características dos Cabos'!$D$25:$L$29,9),IF(OR(M25="i",M25="j",M25="l",M25="m",N25="i",N25="j",N25="l",N25="m"),VLOOKUP("e",'Características dos Cabos'!$D$25:$L$29,9),"")))))</f>
        <v/>
      </c>
      <c r="T25" s="309" t="str">
        <f t="shared" si="7"/>
        <v/>
      </c>
      <c r="U25" s="310" t="str">
        <f>IF(OR(M25="a",N25="a"),VLOOKUP("a",'Características dos Cabos'!$D$25:$L$29,3),IF(OR(M25="b",M25="c",N25="b",N25="c"),VLOOKUP("b",'Características dos Cabos'!$D$25:$L$29,3),IF(OR(M25="d",M25="e",N25="d",N25="e"),VLOOKUP("c",'Características dos Cabos'!$D$25:$L$29,3),IF(OR(M25="f",M25="g",M25="h",N25="f",N25="g",N25="h"),VLOOKUP("d",'Características dos Cabos'!$D$25:$L$29,3),IF(OR(M25="i",M25="j",M25="l",M25="m",N25="i",N25="j",N25="l",N25="m"),VLOOKUP("e",'Características dos Cabos'!$D$25:$L$29,3),"")))))</f>
        <v/>
      </c>
      <c r="V25" s="311" t="str">
        <f t="shared" si="2"/>
        <v/>
      </c>
      <c r="W25" s="284"/>
      <c r="X25" s="298">
        <f t="shared" si="8"/>
        <v>0</v>
      </c>
      <c r="Y25" s="298">
        <f t="shared" si="9"/>
        <v>0</v>
      </c>
      <c r="Z25" s="284">
        <f>SUM($O$21:O25)</f>
        <v>0</v>
      </c>
      <c r="AB25" s="299" t="str">
        <f t="shared" si="3"/>
        <v/>
      </c>
      <c r="AC25" s="300">
        <f t="shared" si="4"/>
        <v>0</v>
      </c>
      <c r="AE25" s="301" t="s">
        <v>66</v>
      </c>
      <c r="AF25" s="302" t="s">
        <v>86</v>
      </c>
      <c r="AG25" s="312"/>
      <c r="AH25" s="302"/>
    </row>
    <row r="26" spans="1:34" ht="12" customHeight="1" x14ac:dyDescent="0.25">
      <c r="A26" s="549"/>
      <c r="B26" s="552"/>
      <c r="C26" s="27"/>
      <c r="D26" s="29"/>
      <c r="E26" s="40"/>
      <c r="F26" s="102" t="str">
        <f t="shared" si="5"/>
        <v/>
      </c>
      <c r="G26" s="45"/>
      <c r="H26" s="306" t="str">
        <f>IF(AND(E26="",G26=""),"",SUM(F26:$G$31))</f>
        <v/>
      </c>
      <c r="J26" s="42"/>
      <c r="K26" s="42"/>
      <c r="L26" s="307" t="str">
        <f>IF(OR(J26="",K26=""),"",IF(J26="3",VLOOKUP(M26,'K% (Rede Convencional)'!$B$18:$M$29,8),(IF(J26="2",VLOOKUP(N26,'K% (Rede Convencional)'!$B$18:$M$29,9),(IF(J26="1",VLOOKUP(N26,'K% (Rede Convencional)'!$B$18:$M$29,10),(IF(J26="13",VLOOKUP(N26,'K% (Rede Convencional)'!$B$18:$M$29,11),(IF(J26="12",VLOOKUP(N26,'K% (Rede Convencional)'!$B$18:$M$29,12),0))))))))))</f>
        <v/>
      </c>
      <c r="M26" s="308" t="str">
        <f t="shared" si="6"/>
        <v/>
      </c>
      <c r="N26" s="308" t="str">
        <f>IF(K26="","",IF(K26="4 (4)","a",IF(OR(K26="2 (4)",K26="2 (2)"),VLOOKUP(K26,BT!$AE$21:$AF$22,2,FALSE),IF(OR(K26="1/0 (4)",K26="1/0 (2)"),VLOOKUP(K26,BT!$AE$24:$AF$25,2,FALSE),IF(OR(K26="4/0 (4)",K26="4/0 (2)",K26="4/0 (1/0)"),VLOOKUP(K26,BT!$AE$27:$AF$29,2,FALSE),IF(OR(K26="336,4 (4)",K26="336,4 (2)",K26="336,4 (1/0)",K26="336,4 (4/0)"),VLOOKUP(K26,BT!$AE$31:$AF$34,2,FALSE),0))))))</f>
        <v/>
      </c>
      <c r="O26" s="45"/>
      <c r="P26" s="309" t="str">
        <f t="shared" si="0"/>
        <v/>
      </c>
      <c r="Q26" s="309" t="str">
        <f>IF(P26="","",SUM($P$20:P26))</f>
        <v/>
      </c>
      <c r="R26" s="309" t="str">
        <f t="shared" si="1"/>
        <v/>
      </c>
      <c r="S26" s="310" t="str">
        <f>IF(OR(M26="a",N26="a"),VLOOKUP("a",'Características dos Cabos'!$D$25:$L$29,9),IF(OR(M26="b",M26="c",N26="b",N26="c"),VLOOKUP("b",'Características dos Cabos'!$D$25:$L$29,9),IF(OR(M26="d",M26="e",N26="d",N26="e"),VLOOKUP("c",'Características dos Cabos'!$D$25:$L$29,9),IF(OR(M26="f",M26="g",M26="h",N26="f",N26="g",N26="h"),VLOOKUP("d",'Características dos Cabos'!$D$25:$L$29,9),IF(OR(M26="i",M26="j",M26="l",M26="m",N26="i",N26="j",N26="l",N26="m"),VLOOKUP("e",'Características dos Cabos'!$D$25:$L$29,9),"")))))</f>
        <v/>
      </c>
      <c r="T26" s="309" t="str">
        <f t="shared" si="7"/>
        <v/>
      </c>
      <c r="U26" s="310" t="str">
        <f>IF(OR(M26="a",N26="a"),VLOOKUP("a",'Características dos Cabos'!$D$25:$L$29,3),IF(OR(M26="b",M26="c",N26="b",N26="c"),VLOOKUP("b",'Características dos Cabos'!$D$25:$L$29,3),IF(OR(M26="d",M26="e",N26="d",N26="e"),VLOOKUP("c",'Características dos Cabos'!$D$25:$L$29,3),IF(OR(M26="f",M26="g",M26="h",N26="f",N26="g",N26="h"),VLOOKUP("d",'Características dos Cabos'!$D$25:$L$29,3),IF(OR(M26="i",M26="j",M26="l",M26="m",N26="i",N26="j",N26="l",N26="m"),VLOOKUP("e",'Características dos Cabos'!$D$25:$L$29,3),"")))))</f>
        <v/>
      </c>
      <c r="V26" s="311" t="str">
        <f t="shared" si="2"/>
        <v/>
      </c>
      <c r="W26" s="284"/>
      <c r="X26" s="298">
        <f t="shared" si="8"/>
        <v>0</v>
      </c>
      <c r="Y26" s="298">
        <f t="shared" si="9"/>
        <v>0</v>
      </c>
      <c r="Z26" s="284">
        <f>SUM($O$21:O26)</f>
        <v>0</v>
      </c>
      <c r="AB26" s="299" t="str">
        <f t="shared" si="3"/>
        <v/>
      </c>
      <c r="AC26" s="300">
        <f t="shared" si="4"/>
        <v>0</v>
      </c>
      <c r="AE26" s="301"/>
      <c r="AF26" s="302"/>
      <c r="AG26" s="312"/>
      <c r="AH26" s="302"/>
    </row>
    <row r="27" spans="1:34" ht="12" customHeight="1" x14ac:dyDescent="0.25">
      <c r="A27" s="549"/>
      <c r="B27" s="552"/>
      <c r="C27" s="27"/>
      <c r="D27" s="29"/>
      <c r="E27" s="40"/>
      <c r="F27" s="102" t="str">
        <f t="shared" si="5"/>
        <v/>
      </c>
      <c r="G27" s="45"/>
      <c r="H27" s="306" t="str">
        <f>IF(AND(E27="",G27=""),"",SUM(F27:$G$31))</f>
        <v/>
      </c>
      <c r="J27" s="42"/>
      <c r="K27" s="42"/>
      <c r="L27" s="307" t="str">
        <f>IF(OR(J27="",K27=""),"",IF(J27="3",VLOOKUP(M27,'K% (Rede Convencional)'!$B$18:$M$29,8),(IF(J27="2",VLOOKUP(N27,'K% (Rede Convencional)'!$B$18:$M$29,9),(IF(J27="1",VLOOKUP(N27,'K% (Rede Convencional)'!$B$18:$M$29,10),(IF(J27="13",VLOOKUP(N27,'K% (Rede Convencional)'!$B$18:$M$29,11),(IF(J27="12",VLOOKUP(N27,'K% (Rede Convencional)'!$B$18:$M$29,12),0))))))))))</f>
        <v/>
      </c>
      <c r="M27" s="308" t="str">
        <f t="shared" si="6"/>
        <v/>
      </c>
      <c r="N27" s="308" t="str">
        <f>IF(K27="","",IF(K27="4 (4)","a",IF(OR(K27="2 (4)",K27="2 (2)"),VLOOKUP(K27,BT!$AE$21:$AF$22,2,FALSE),IF(OR(K27="1/0 (4)",K27="1/0 (2)"),VLOOKUP(K27,BT!$AE$24:$AF$25,2,FALSE),IF(OR(K27="4/0 (4)",K27="4/0 (2)",K27="4/0 (1/0)"),VLOOKUP(K27,BT!$AE$27:$AF$29,2,FALSE),IF(OR(K27="336,4 (4)",K27="336,4 (2)",K27="336,4 (1/0)",K27="336,4 (4/0)"),VLOOKUP(K27,BT!$AE$31:$AF$34,2,FALSE),0))))))</f>
        <v/>
      </c>
      <c r="O27" s="45"/>
      <c r="P27" s="309" t="str">
        <f t="shared" si="0"/>
        <v/>
      </c>
      <c r="Q27" s="309" t="str">
        <f>IF(P27="","",SUM($P$20:P27))</f>
        <v/>
      </c>
      <c r="R27" s="309" t="str">
        <f t="shared" si="1"/>
        <v/>
      </c>
      <c r="S27" s="310" t="str">
        <f>IF(OR(M27="a",N27="a"),VLOOKUP("a",'Características dos Cabos'!$D$25:$L$29,9),IF(OR(M27="b",M27="c",N27="b",N27="c"),VLOOKUP("b",'Características dos Cabos'!$D$25:$L$29,9),IF(OR(M27="d",M27="e",N27="d",N27="e"),VLOOKUP("c",'Características dos Cabos'!$D$25:$L$29,9),IF(OR(M27="f",M27="g",M27="h",N27="f",N27="g",N27="h"),VLOOKUP("d",'Características dos Cabos'!$D$25:$L$29,9),IF(OR(M27="i",M27="j",M27="l",M27="m",N27="i",N27="j",N27="l",N27="m"),VLOOKUP("e",'Características dos Cabos'!$D$25:$L$29,9),"")))))</f>
        <v/>
      </c>
      <c r="T27" s="309" t="str">
        <f t="shared" si="7"/>
        <v/>
      </c>
      <c r="U27" s="310" t="str">
        <f>IF(OR(M27="a",N27="a"),VLOOKUP("a",'Características dos Cabos'!$D$25:$L$29,3),IF(OR(M27="b",M27="c",N27="b",N27="c"),VLOOKUP("b",'Características dos Cabos'!$D$25:$L$29,3),IF(OR(M27="d",M27="e",N27="d",N27="e"),VLOOKUP("c",'Características dos Cabos'!$D$25:$L$29,3),IF(OR(M27="f",M27="g",M27="h",N27="f",N27="g",N27="h"),VLOOKUP("d",'Características dos Cabos'!$D$25:$L$29,3),IF(OR(M27="i",M27="j",M27="l",M27="m",N27="i",N27="j",N27="l",N27="m"),VLOOKUP("e",'Características dos Cabos'!$D$25:$L$29,3),"")))))</f>
        <v/>
      </c>
      <c r="V27" s="311" t="str">
        <f t="shared" si="2"/>
        <v/>
      </c>
      <c r="W27" s="284"/>
      <c r="X27" s="298">
        <f t="shared" si="8"/>
        <v>0</v>
      </c>
      <c r="Y27" s="298">
        <f t="shared" si="9"/>
        <v>0</v>
      </c>
      <c r="Z27" s="284">
        <f>SUM($O$21:O27)</f>
        <v>0</v>
      </c>
      <c r="AB27" s="299" t="str">
        <f t="shared" si="3"/>
        <v/>
      </c>
      <c r="AC27" s="300">
        <f t="shared" si="4"/>
        <v>0</v>
      </c>
      <c r="AE27" s="301" t="s">
        <v>67</v>
      </c>
      <c r="AF27" s="302" t="s">
        <v>87</v>
      </c>
      <c r="AG27" s="312"/>
      <c r="AH27" s="302"/>
    </row>
    <row r="28" spans="1:34" ht="12" customHeight="1" x14ac:dyDescent="0.25">
      <c r="A28" s="549"/>
      <c r="B28" s="552"/>
      <c r="C28" s="27"/>
      <c r="D28" s="29"/>
      <c r="E28" s="40"/>
      <c r="F28" s="102" t="str">
        <f t="shared" si="5"/>
        <v/>
      </c>
      <c r="G28" s="45"/>
      <c r="H28" s="306" t="str">
        <f>IF(AND(E28="",G28=""),"",SUM(F28:$G$31))</f>
        <v/>
      </c>
      <c r="J28" s="42"/>
      <c r="K28" s="42"/>
      <c r="L28" s="307" t="str">
        <f>IF(OR(J28="",K28=""),"",IF(J28="3",VLOOKUP(M28,'K% (Rede Convencional)'!$B$18:$M$29,8),(IF(J28="2",VLOOKUP(N28,'K% (Rede Convencional)'!$B$18:$M$29,9),(IF(J28="1",VLOOKUP(N28,'K% (Rede Convencional)'!$B$18:$M$29,10),(IF(J28="13",VLOOKUP(N28,'K% (Rede Convencional)'!$B$18:$M$29,11),(IF(J28="12",VLOOKUP(N28,'K% (Rede Convencional)'!$B$18:$M$29,12),0))))))))))</f>
        <v/>
      </c>
      <c r="M28" s="308" t="str">
        <f t="shared" si="6"/>
        <v/>
      </c>
      <c r="N28" s="308" t="str">
        <f>IF(K28="","",IF(K28="4 (4)","a",IF(OR(K28="2 (4)",K28="2 (2)"),VLOOKUP(K28,BT!$AE$21:$AF$22,2,FALSE),IF(OR(K28="1/0 (4)",K28="1/0 (2)"),VLOOKUP(K28,BT!$AE$24:$AF$25,2,FALSE),IF(OR(K28="4/0 (4)",K28="4/0 (2)",K28="4/0 (1/0)"),VLOOKUP(K28,BT!$AE$27:$AF$29,2,FALSE),IF(OR(K28="336,4 (4)",K28="336,4 (2)",K28="336,4 (1/0)",K28="336,4 (4/0)"),VLOOKUP(K28,BT!$AE$31:$AF$34,2,FALSE),0))))))</f>
        <v/>
      </c>
      <c r="O28" s="45"/>
      <c r="P28" s="309" t="str">
        <f t="shared" si="0"/>
        <v/>
      </c>
      <c r="Q28" s="309" t="str">
        <f>IF(P28="","",SUM($P$20:P28))</f>
        <v/>
      </c>
      <c r="R28" s="309" t="str">
        <f t="shared" si="1"/>
        <v/>
      </c>
      <c r="S28" s="310" t="str">
        <f>IF(OR(M28="a",N28="a"),VLOOKUP("a",'Características dos Cabos'!$D$25:$L$29,9),IF(OR(M28="b",M28="c",N28="b",N28="c"),VLOOKUP("b",'Características dos Cabos'!$D$25:$L$29,9),IF(OR(M28="d",M28="e",N28="d",N28="e"),VLOOKUP("c",'Características dos Cabos'!$D$25:$L$29,9),IF(OR(M28="f",M28="g",M28="h",N28="f",N28="g",N28="h"),VLOOKUP("d",'Características dos Cabos'!$D$25:$L$29,9),IF(OR(M28="i",M28="j",M28="l",M28="m",N28="i",N28="j",N28="l",N28="m"),VLOOKUP("e",'Características dos Cabos'!$D$25:$L$29,9),"")))))</f>
        <v/>
      </c>
      <c r="T28" s="309" t="str">
        <f t="shared" si="7"/>
        <v/>
      </c>
      <c r="U28" s="310" t="str">
        <f>IF(OR(M28="a",N28="a"),VLOOKUP("a",'Características dos Cabos'!$D$25:$L$29,3),IF(OR(M28="b",M28="c",N28="b",N28="c"),VLOOKUP("b",'Características dos Cabos'!$D$25:$L$29,3),IF(OR(M28="d",M28="e",N28="d",N28="e"),VLOOKUP("c",'Características dos Cabos'!$D$25:$L$29,3),IF(OR(M28="f",M28="g",M28="h",N28="f",N28="g",N28="h"),VLOOKUP("d",'Características dos Cabos'!$D$25:$L$29,3),IF(OR(M28="i",M28="j",M28="l",M28="m",N28="i",N28="j",N28="l",N28="m"),VLOOKUP("e",'Características dos Cabos'!$D$25:$L$29,3),"")))))</f>
        <v/>
      </c>
      <c r="V28" s="311" t="str">
        <f t="shared" si="2"/>
        <v/>
      </c>
      <c r="W28" s="284"/>
      <c r="X28" s="298">
        <f t="shared" si="8"/>
        <v>0</v>
      </c>
      <c r="Y28" s="298">
        <f t="shared" si="9"/>
        <v>0</v>
      </c>
      <c r="Z28" s="284">
        <f>SUM($O$21:O28)</f>
        <v>0</v>
      </c>
      <c r="AB28" s="299" t="str">
        <f t="shared" si="3"/>
        <v/>
      </c>
      <c r="AC28" s="300">
        <f t="shared" si="4"/>
        <v>0</v>
      </c>
      <c r="AE28" s="301" t="s">
        <v>68</v>
      </c>
      <c r="AF28" s="302" t="s">
        <v>88</v>
      </c>
      <c r="AG28" s="312"/>
      <c r="AH28" s="302"/>
    </row>
    <row r="29" spans="1:34" ht="12" customHeight="1" x14ac:dyDescent="0.25">
      <c r="A29" s="549"/>
      <c r="B29" s="552"/>
      <c r="C29" s="27"/>
      <c r="D29" s="29"/>
      <c r="E29" s="40"/>
      <c r="F29" s="102" t="str">
        <f t="shared" si="5"/>
        <v/>
      </c>
      <c r="G29" s="45"/>
      <c r="H29" s="306" t="str">
        <f>IF(AND(E29="",G29=""),"",SUM(F29:$G$31))</f>
        <v/>
      </c>
      <c r="J29" s="42"/>
      <c r="K29" s="42"/>
      <c r="L29" s="307" t="str">
        <f>IF(OR(J29="",K29=""),"",IF(J29="3",VLOOKUP(M29,'K% (Rede Convencional)'!$B$18:$M$29,8),(IF(J29="2",VLOOKUP(N29,'K% (Rede Convencional)'!$B$18:$M$29,9),(IF(J29="1",VLOOKUP(N29,'K% (Rede Convencional)'!$B$18:$M$29,10),(IF(J29="13",VLOOKUP(N29,'K% (Rede Convencional)'!$B$18:$M$29,11),(IF(J29="12",VLOOKUP(N29,'K% (Rede Convencional)'!$B$18:$M$29,12),0))))))))))</f>
        <v/>
      </c>
      <c r="M29" s="308" t="str">
        <f t="shared" si="6"/>
        <v/>
      </c>
      <c r="N29" s="308" t="str">
        <f>IF(K29="","",IF(K29="4 (4)","a",IF(OR(K29="2 (4)",K29="2 (2)"),VLOOKUP(K29,BT!$AE$21:$AF$22,2,FALSE),IF(OR(K29="1/0 (4)",K29="1/0 (2)"),VLOOKUP(K29,BT!$AE$24:$AF$25,2,FALSE),IF(OR(K29="4/0 (4)",K29="4/0 (2)",K29="4/0 (1/0)"),VLOOKUP(K29,BT!$AE$27:$AF$29,2,FALSE),IF(OR(K29="336,4 (4)",K29="336,4 (2)",K29="336,4 (1/0)",K29="336,4 (4/0)"),VLOOKUP(K29,BT!$AE$31:$AF$34,2,FALSE),0))))))</f>
        <v/>
      </c>
      <c r="O29" s="45"/>
      <c r="P29" s="309" t="str">
        <f t="shared" si="0"/>
        <v/>
      </c>
      <c r="Q29" s="309" t="str">
        <f>IF(P29="","",SUM($P$20:P29))</f>
        <v/>
      </c>
      <c r="R29" s="309" t="str">
        <f t="shared" si="1"/>
        <v/>
      </c>
      <c r="S29" s="310" t="str">
        <f>IF(OR(M29="a",N29="a"),VLOOKUP("a",'Características dos Cabos'!$D$25:$L$29,9),IF(OR(M29="b",M29="c",N29="b",N29="c"),VLOOKUP("b",'Características dos Cabos'!$D$25:$L$29,9),IF(OR(M29="d",M29="e",N29="d",N29="e"),VLOOKUP("c",'Características dos Cabos'!$D$25:$L$29,9),IF(OR(M29="f",M29="g",M29="h",N29="f",N29="g",N29="h"),VLOOKUP("d",'Características dos Cabos'!$D$25:$L$29,9),IF(OR(M29="i",M29="j",M29="l",M29="m",N29="i",N29="j",N29="l",N29="m"),VLOOKUP("e",'Características dos Cabos'!$D$25:$L$29,9),"")))))</f>
        <v/>
      </c>
      <c r="T29" s="309" t="str">
        <f t="shared" si="7"/>
        <v/>
      </c>
      <c r="U29" s="310" t="str">
        <f>IF(OR(M29="a",N29="a"),VLOOKUP("a",'Características dos Cabos'!$D$25:$L$29,3),IF(OR(M29="b",M29="c",N29="b",N29="c"),VLOOKUP("b",'Características dos Cabos'!$D$25:$L$29,3),IF(OR(M29="d",M29="e",N29="d",N29="e"),VLOOKUP("c",'Características dos Cabos'!$D$25:$L$29,3),IF(OR(M29="f",M29="g",M29="h",N29="f",N29="g",N29="h"),VLOOKUP("d",'Características dos Cabos'!$D$25:$L$29,3),IF(OR(M29="i",M29="j",M29="l",M29="m",N29="i",N29="j",N29="l",N29="m"),VLOOKUP("e",'Características dos Cabos'!$D$25:$L$29,3),"")))))</f>
        <v/>
      </c>
      <c r="V29" s="311" t="str">
        <f t="shared" si="2"/>
        <v/>
      </c>
      <c r="W29" s="284"/>
      <c r="X29" s="298">
        <f t="shared" si="8"/>
        <v>0</v>
      </c>
      <c r="Y29" s="298">
        <f t="shared" si="9"/>
        <v>0</v>
      </c>
      <c r="Z29" s="284">
        <f>SUM($O$21:O29)</f>
        <v>0</v>
      </c>
      <c r="AB29" s="299" t="str">
        <f t="shared" si="3"/>
        <v/>
      </c>
      <c r="AC29" s="300">
        <f t="shared" si="4"/>
        <v>0</v>
      </c>
      <c r="AE29" s="301" t="s">
        <v>69</v>
      </c>
      <c r="AF29" s="302" t="s">
        <v>90</v>
      </c>
      <c r="AG29" s="312"/>
      <c r="AH29" s="302"/>
    </row>
    <row r="30" spans="1:34" ht="12" customHeight="1" x14ac:dyDescent="0.25">
      <c r="A30" s="549"/>
      <c r="B30" s="552"/>
      <c r="C30" s="27"/>
      <c r="D30" s="29"/>
      <c r="E30" s="40"/>
      <c r="F30" s="102" t="str">
        <f t="shared" si="5"/>
        <v/>
      </c>
      <c r="G30" s="45"/>
      <c r="H30" s="306" t="str">
        <f>IF(AND(E30="",G30=""),"",SUM(F30:$G$31))</f>
        <v/>
      </c>
      <c r="J30" s="42"/>
      <c r="K30" s="42"/>
      <c r="L30" s="307" t="str">
        <f>IF(OR(J30="",K30=""),"",IF(J30="3",VLOOKUP(M30,'K% (Rede Convencional)'!$B$18:$M$29,8),(IF(J30="2",VLOOKUP(N30,'K% (Rede Convencional)'!$B$18:$M$29,9),(IF(J30="1",VLOOKUP(N30,'K% (Rede Convencional)'!$B$18:$M$29,10),(IF(J30="13",VLOOKUP(N30,'K% (Rede Convencional)'!$B$18:$M$29,11),(IF(J30="12",VLOOKUP(N30,'K% (Rede Convencional)'!$B$18:$M$29,12),0))))))))))</f>
        <v/>
      </c>
      <c r="M30" s="308" t="str">
        <f t="shared" si="6"/>
        <v/>
      </c>
      <c r="N30" s="308" t="str">
        <f>IF(K30="","",IF(K30="4 (4)","a",IF(OR(K30="2 (4)",K30="2 (2)"),VLOOKUP(K30,BT!$AE$21:$AF$22,2,FALSE),IF(OR(K30="1/0 (4)",K30="1/0 (2)"),VLOOKUP(K30,BT!$AE$24:$AF$25,2,FALSE),IF(OR(K30="4/0 (4)",K30="4/0 (2)",K30="4/0 (1/0)"),VLOOKUP(K30,BT!$AE$27:$AF$29,2,FALSE),IF(OR(K30="336,4 (4)",K30="336,4 (2)",K30="336,4 (1/0)",K30="336,4 (4/0)"),VLOOKUP(K30,BT!$AE$31:$AF$34,2,FALSE),0))))))</f>
        <v/>
      </c>
      <c r="O30" s="45"/>
      <c r="P30" s="309" t="str">
        <f t="shared" si="0"/>
        <v/>
      </c>
      <c r="Q30" s="309" t="str">
        <f>IF(P30="","",SUM($P$20:P30))</f>
        <v/>
      </c>
      <c r="R30" s="309" t="str">
        <f t="shared" si="1"/>
        <v/>
      </c>
      <c r="S30" s="310" t="str">
        <f>IF(OR(M30="a",N30="a"),VLOOKUP("a",'Características dos Cabos'!$D$25:$L$29,9),IF(OR(M30="b",M30="c",N30="b",N30="c"),VLOOKUP("b",'Características dos Cabos'!$D$25:$L$29,9),IF(OR(M30="d",M30="e",N30="d",N30="e"),VLOOKUP("c",'Características dos Cabos'!$D$25:$L$29,9),IF(OR(M30="f",M30="g",M30="h",N30="f",N30="g",N30="h"),VLOOKUP("d",'Características dos Cabos'!$D$25:$L$29,9),IF(OR(M30="i",M30="j",M30="l",M30="m",N30="i",N30="j",N30="l",N30="m"),VLOOKUP("e",'Características dos Cabos'!$D$25:$L$29,9),"")))))</f>
        <v/>
      </c>
      <c r="T30" s="309" t="str">
        <f t="shared" si="7"/>
        <v/>
      </c>
      <c r="U30" s="310" t="str">
        <f>IF(OR(M30="a",N30="a"),VLOOKUP("a",'Características dos Cabos'!$D$25:$L$29,3),IF(OR(M30="b",M30="c",N30="b",N30="c"),VLOOKUP("b",'Características dos Cabos'!$D$25:$L$29,3),IF(OR(M30="d",M30="e",N30="d",N30="e"),VLOOKUP("c",'Características dos Cabos'!$D$25:$L$29,3),IF(OR(M30="f",M30="g",M30="h",N30="f",N30="g",N30="h"),VLOOKUP("d",'Características dos Cabos'!$D$25:$L$29,3),IF(OR(M30="i",M30="j",M30="l",M30="m",N30="i",N30="j",N30="l",N30="m"),VLOOKUP("e",'Características dos Cabos'!$D$25:$L$29,3),"")))))</f>
        <v/>
      </c>
      <c r="V30" s="311" t="str">
        <f t="shared" si="2"/>
        <v/>
      </c>
      <c r="W30" s="284"/>
      <c r="X30" s="298">
        <f t="shared" si="8"/>
        <v>0</v>
      </c>
      <c r="Y30" s="298">
        <f t="shared" si="9"/>
        <v>0</v>
      </c>
      <c r="Z30" s="284">
        <f>SUM($O$21:O30)</f>
        <v>0</v>
      </c>
      <c r="AB30" s="299" t="str">
        <f t="shared" si="3"/>
        <v/>
      </c>
      <c r="AC30" s="300">
        <f t="shared" si="4"/>
        <v>0</v>
      </c>
      <c r="AE30" s="301"/>
      <c r="AF30" s="302"/>
      <c r="AG30" s="312"/>
      <c r="AH30" s="302"/>
    </row>
    <row r="31" spans="1:34" ht="12" customHeight="1" thickBot="1" x14ac:dyDescent="0.3">
      <c r="A31" s="549"/>
      <c r="B31" s="553"/>
      <c r="C31" s="50"/>
      <c r="D31" s="51"/>
      <c r="E31" s="52"/>
      <c r="F31" s="64" t="str">
        <f t="shared" si="5"/>
        <v/>
      </c>
      <c r="G31" s="53"/>
      <c r="H31" s="313" t="str">
        <f>IF(AND(E31="",G31=""),"",SUM(F31:$G$31))</f>
        <v/>
      </c>
      <c r="J31" s="54"/>
      <c r="K31" s="54"/>
      <c r="L31" s="314" t="str">
        <f>IF(OR(J31="",K31=""),"",IF(J31="3",VLOOKUP(M31,'K% (Rede Convencional)'!$B$18:$M$29,8),(IF(J31="2",VLOOKUP(N31,'K% (Rede Convencional)'!$B$18:$M$29,9),(IF(J31="1",VLOOKUP(N31,'K% (Rede Convencional)'!$B$18:$M$29,10),(IF(J31="13",VLOOKUP(N31,'K% (Rede Convencional)'!$B$18:$M$29,11),(IF(J31="12",VLOOKUP(N31,'K% (Rede Convencional)'!$B$18:$M$29,12),0))))))))))</f>
        <v/>
      </c>
      <c r="M31" s="315" t="str">
        <f t="shared" si="6"/>
        <v/>
      </c>
      <c r="N31" s="315" t="str">
        <f>IF(K31="","",IF(K31="4 (4)","a",IF(OR(K31="2 (4)",K31="2 (2)"),VLOOKUP(K31,BT!$AE$21:$AF$22,2,FALSE),IF(OR(K31="1/0 (4)",K31="1/0 (2)"),VLOOKUP(K31,BT!$AE$24:$AF$25,2,FALSE),IF(OR(K31="4/0 (4)",K31="4/0 (2)",K31="4/0 (1/0)"),VLOOKUP(K31,BT!$AE$27:$AF$29,2,FALSE),IF(OR(K31="336,4 (4)",K31="336,4 (2)",K31="336,4 (1/0)",K31="336,4 (4/0)"),VLOOKUP(K31,BT!$AE$31:$AF$34,2,FALSE),0))))))</f>
        <v/>
      </c>
      <c r="O31" s="53"/>
      <c r="P31" s="316" t="str">
        <f t="shared" si="0"/>
        <v/>
      </c>
      <c r="Q31" s="316" t="str">
        <f>IF(P31="","",SUM($P$20:P31))</f>
        <v/>
      </c>
      <c r="R31" s="316" t="str">
        <f t="shared" si="1"/>
        <v/>
      </c>
      <c r="S31" s="317" t="str">
        <f>IF(OR(M31="a",N31="a"),VLOOKUP("a",'Características dos Cabos'!$D$25:$L$29,9),IF(OR(M31="b",M31="c",N31="b",N31="c"),VLOOKUP("b",'Características dos Cabos'!$D$25:$L$29,9),IF(OR(M31="d",M31="e",N31="d",N31="e"),VLOOKUP("c",'Características dos Cabos'!$D$25:$L$29,9),IF(OR(M31="f",M31="g",M31="h",N31="f",N31="g",N31="h"),VLOOKUP("d",'Características dos Cabos'!$D$25:$L$29,9),IF(OR(M31="i",M31="j",M31="l",M31="m",N31="i",N31="j",N31="l",N31="m"),VLOOKUP("e",'Características dos Cabos'!$D$25:$L$29,9),"")))))</f>
        <v/>
      </c>
      <c r="T31" s="316" t="str">
        <f t="shared" si="7"/>
        <v/>
      </c>
      <c r="U31" s="317" t="str">
        <f>IF(OR(M31="a",N31="a"),VLOOKUP("a",'Características dos Cabos'!$D$25:$L$29,3),IF(OR(M31="b",M31="c",N31="b",N31="c"),VLOOKUP("b",'Características dos Cabos'!$D$25:$L$29,3),IF(OR(M31="d",M31="e",N31="d",N31="e"),VLOOKUP("c",'Características dos Cabos'!$D$25:$L$29,3),IF(OR(M31="f",M31="g",M31="h",N31="f",N31="g",N31="h"),VLOOKUP("d",'Características dos Cabos'!$D$25:$L$29,3),IF(OR(M31="i",M31="j",M31="l",M31="m",N31="i",N31="j",N31="l",N31="m"),VLOOKUP("e",'Características dos Cabos'!$D$25:$L$29,3),"")))))</f>
        <v/>
      </c>
      <c r="V31" s="318" t="str">
        <f t="shared" si="2"/>
        <v/>
      </c>
      <c r="W31" s="284"/>
      <c r="X31" s="298">
        <f t="shared" si="8"/>
        <v>0</v>
      </c>
      <c r="Y31" s="298">
        <f t="shared" si="9"/>
        <v>0</v>
      </c>
      <c r="Z31" s="284">
        <f>SUM($O$21:O31)</f>
        <v>0</v>
      </c>
      <c r="AB31" s="299" t="str">
        <f t="shared" si="3"/>
        <v/>
      </c>
      <c r="AC31" s="300">
        <f t="shared" si="4"/>
        <v>0</v>
      </c>
      <c r="AE31" s="301" t="s">
        <v>70</v>
      </c>
      <c r="AF31" s="302" t="s">
        <v>91</v>
      </c>
      <c r="AG31" s="312"/>
      <c r="AH31" s="302"/>
    </row>
    <row r="32" spans="1:34" ht="13" thickTop="1" x14ac:dyDescent="0.25">
      <c r="A32" s="549"/>
      <c r="B32" s="551" t="s">
        <v>105</v>
      </c>
      <c r="C32" s="319" t="s">
        <v>100</v>
      </c>
      <c r="D32" s="31"/>
      <c r="E32" s="39"/>
      <c r="F32" s="102" t="str">
        <f t="shared" si="5"/>
        <v/>
      </c>
      <c r="G32" s="44"/>
      <c r="H32" s="320" t="str">
        <f>IF(AND(E32="",G32=""),"",SUM(F32:$G$43))</f>
        <v/>
      </c>
      <c r="J32" s="32"/>
      <c r="K32" s="32"/>
      <c r="L32" s="321" t="str">
        <f>IF(OR(J32="",K32=""),"",IF(J32="3",VLOOKUP(M32,'K% (Rede Convencional)'!$B$18:$M$29,8),(IF(J32="2",VLOOKUP(N32,'K% (Rede Convencional)'!$B$18:$M$29,9),(IF(J32="1",VLOOKUP(N32,'K% (Rede Convencional)'!$B$18:$M$29,10),(IF(J32="13",VLOOKUP(N32,'K% (Rede Convencional)'!$B$18:$M$29,11),(IF(J32="12",VLOOKUP(N32,'K% (Rede Convencional)'!$B$18:$M$29,12),0))))))))))</f>
        <v/>
      </c>
      <c r="M32" s="294" t="str">
        <f t="shared" si="6"/>
        <v/>
      </c>
      <c r="N32" s="294" t="str">
        <f>IF(K32="","",IF(K32="4 (4)","a",IF(OR(K32="2 (4)",K32="2 (2)"),VLOOKUP(K32,BT!$AE$21:$AF$22,2,FALSE),IF(OR(K32="1/0 (4)",K32="1/0 (2)"),VLOOKUP(K32,BT!$AE$24:$AF$25,2,FALSE),IF(OR(K32="4/0 (4)",K32="4/0 (2)",K32="4/0 (1/0)"),VLOOKUP(K32,BT!$AE$27:$AF$29,2,FALSE),IF(OR(K32="336,4 (4)",K32="336,4 (2)",K32="336,4 (1/0)",K32="336,4 (4/0)"),VLOOKUP(K32,BT!$AE$31:$AF$34,2,FALSE),0))))))</f>
        <v/>
      </c>
      <c r="O32" s="44"/>
      <c r="P32" s="322" t="str">
        <f t="shared" si="0"/>
        <v/>
      </c>
      <c r="Q32" s="322" t="str">
        <f>IF(P32="","",SUM($P$32:P32))</f>
        <v/>
      </c>
      <c r="R32" s="322" t="str">
        <f t="shared" si="1"/>
        <v/>
      </c>
      <c r="S32" s="323" t="str">
        <f>IF(OR(M32="a",N32="a"),VLOOKUP("a",'Características dos Cabos'!$D$25:$L$29,9),IF(OR(M32="b",M32="c",N32="b",N32="c"),VLOOKUP("b",'Características dos Cabos'!$D$25:$L$29,9),IF(OR(M32="d",M32="e",N32="d",N32="e"),VLOOKUP("c",'Características dos Cabos'!$D$25:$L$29,9),IF(OR(M32="f",M32="g",M32="h",N32="f",N32="g",N32="h"),VLOOKUP("d",'Características dos Cabos'!$D$25:$L$29,9),IF(OR(M32="i",M32="j",M32="l",M32="m",N32="i",N32="j",N32="l",N32="m"),VLOOKUP("e",'Características dos Cabos'!$D$25:$L$29,9),"")))))</f>
        <v/>
      </c>
      <c r="T32" s="322" t="str">
        <f t="shared" si="7"/>
        <v/>
      </c>
      <c r="U32" s="323" t="str">
        <f>IF(OR(M32="a",N32="a"),VLOOKUP("a",'Características dos Cabos'!$D$25:$L$29,3),IF(OR(M32="b",M32="c",N32="b",N32="c"),VLOOKUP("b",'Características dos Cabos'!$D$25:$L$29,3),IF(OR(M32="d",M32="e",N32="d",N32="e"),VLOOKUP("c",'Características dos Cabos'!$D$25:$L$29,3),IF(OR(M32="f",M32="g",M32="h",N32="f",N32="g",N32="h"),VLOOKUP("d",'Características dos Cabos'!$D$25:$L$29,3),IF(OR(M32="i",M32="j",M32="l",M32="m",N32="i",N32="j",N32="l",N32="m"),VLOOKUP("e",'Características dos Cabos'!$D$25:$L$29,3),"")))))</f>
        <v/>
      </c>
      <c r="V32" s="324" t="str">
        <f t="shared" si="2"/>
        <v/>
      </c>
      <c r="W32" s="284"/>
      <c r="X32" s="298">
        <f t="shared" si="8"/>
        <v>0</v>
      </c>
      <c r="Y32" s="298">
        <f t="shared" si="9"/>
        <v>0</v>
      </c>
      <c r="Z32" s="284">
        <f>SUM($O$32:O32)</f>
        <v>0</v>
      </c>
      <c r="AB32" s="299" t="str">
        <f t="shared" si="3"/>
        <v/>
      </c>
      <c r="AC32" s="300">
        <f t="shared" si="4"/>
        <v>0</v>
      </c>
      <c r="AE32" s="301" t="s">
        <v>71</v>
      </c>
      <c r="AF32" s="302" t="s">
        <v>92</v>
      </c>
      <c r="AG32" s="312"/>
      <c r="AH32" s="302"/>
    </row>
    <row r="33" spans="1:34" x14ac:dyDescent="0.25">
      <c r="A33" s="549"/>
      <c r="B33" s="552"/>
      <c r="C33" s="27"/>
      <c r="D33" s="29"/>
      <c r="E33" s="40"/>
      <c r="F33" s="102" t="str">
        <f t="shared" si="5"/>
        <v/>
      </c>
      <c r="G33" s="45"/>
      <c r="H33" s="306" t="str">
        <f>IF(AND(E33="",G33=""),"",SUM(F33:$G$43))</f>
        <v/>
      </c>
      <c r="J33" s="42"/>
      <c r="K33" s="42"/>
      <c r="L33" s="307" t="str">
        <f>IF(OR(J33="",K33=""),"",IF(J33="3",VLOOKUP(M33,'K% (Rede Convencional)'!$B$18:$M$29,8),(IF(J33="2",VLOOKUP(N33,'K% (Rede Convencional)'!$B$18:$M$29,9),(IF(J33="1",VLOOKUP(N33,'K% (Rede Convencional)'!$B$18:$M$29,10),(IF(J33="13",VLOOKUP(N33,'K% (Rede Convencional)'!$B$18:$M$29,11),(IF(J33="12",VLOOKUP(N33,'K% (Rede Convencional)'!$B$18:$M$29,12),0))))))))))</f>
        <v/>
      </c>
      <c r="M33" s="308" t="str">
        <f t="shared" si="6"/>
        <v/>
      </c>
      <c r="N33" s="308" t="str">
        <f>IF(K33="","",IF(K33="4 (4)","a",IF(OR(K33="2 (4)",K33="2 (2)"),VLOOKUP(K33,BT!$AE$21:$AF$22,2,FALSE),IF(OR(K33="1/0 (4)",K33="1/0 (2)"),VLOOKUP(K33,BT!$AE$24:$AF$25,2,FALSE),IF(OR(K33="4/0 (4)",K33="4/0 (2)",K33="4/0 (1/0)"),VLOOKUP(K33,BT!$AE$27:$AF$29,2,FALSE),IF(OR(K33="336,4 (4)",K33="336,4 (2)",K33="336,4 (1/0)",K33="336,4 (4/0)"),VLOOKUP(K33,BT!$AE$31:$AF$34,2,FALSE),0))))))</f>
        <v/>
      </c>
      <c r="O33" s="45"/>
      <c r="P33" s="309" t="str">
        <f t="shared" si="0"/>
        <v/>
      </c>
      <c r="Q33" s="309" t="str">
        <f>IF(P33="","",SUM($P$32:P33))</f>
        <v/>
      </c>
      <c r="R33" s="309" t="str">
        <f t="shared" si="1"/>
        <v/>
      </c>
      <c r="S33" s="310" t="str">
        <f>IF(OR(M33="a",N33="a"),VLOOKUP("a",'Características dos Cabos'!$D$25:$L$29,9),IF(OR(M33="b",M33="c",N33="b",N33="c"),VLOOKUP("b",'Características dos Cabos'!$D$25:$L$29,9),IF(OR(M33="d",M33="e",N33="d",N33="e"),VLOOKUP("c",'Características dos Cabos'!$D$25:$L$29,9),IF(OR(M33="f",M33="g",M33="h",N33="f",N33="g",N33="h"),VLOOKUP("d",'Características dos Cabos'!$D$25:$L$29,9),IF(OR(M33="i",M33="j",M33="l",M33="m",N33="i",N33="j",N33="l",N33="m"),VLOOKUP("e",'Características dos Cabos'!$D$25:$L$29,9),"")))))</f>
        <v/>
      </c>
      <c r="T33" s="309" t="str">
        <f t="shared" si="7"/>
        <v/>
      </c>
      <c r="U33" s="310" t="str">
        <f>IF(OR(M33="a",N33="a"),VLOOKUP("a",'Características dos Cabos'!$D$25:$L$29,3),IF(OR(M33="b",M33="c",N33="b",N33="c"),VLOOKUP("b",'Características dos Cabos'!$D$25:$L$29,3),IF(OR(M33="d",M33="e",N33="d",N33="e"),VLOOKUP("c",'Características dos Cabos'!$D$25:$L$29,3),IF(OR(M33="f",M33="g",M33="h",N33="f",N33="g",N33="h"),VLOOKUP("d",'Características dos Cabos'!$D$25:$L$29,3),IF(OR(M33="i",M33="j",M33="l",M33="m",N33="i",N33="j",N33="l",N33="m"),VLOOKUP("e",'Características dos Cabos'!$D$25:$L$29,3),"")))))</f>
        <v/>
      </c>
      <c r="V33" s="311" t="str">
        <f t="shared" si="2"/>
        <v/>
      </c>
      <c r="W33" s="284"/>
      <c r="X33" s="298">
        <f t="shared" si="8"/>
        <v>0</v>
      </c>
      <c r="Y33" s="298">
        <f t="shared" si="9"/>
        <v>0</v>
      </c>
      <c r="Z33" s="284">
        <f>SUM($O$32:O33)</f>
        <v>0</v>
      </c>
      <c r="AB33" s="299" t="str">
        <f t="shared" si="3"/>
        <v/>
      </c>
      <c r="AC33" s="300">
        <f t="shared" si="4"/>
        <v>0</v>
      </c>
      <c r="AE33" s="301" t="s">
        <v>72</v>
      </c>
      <c r="AF33" s="302" t="s">
        <v>93</v>
      </c>
      <c r="AG33" s="312"/>
      <c r="AH33" s="302"/>
    </row>
    <row r="34" spans="1:34" x14ac:dyDescent="0.25">
      <c r="A34" s="549"/>
      <c r="B34" s="552"/>
      <c r="C34" s="27"/>
      <c r="D34" s="29"/>
      <c r="E34" s="40"/>
      <c r="F34" s="102" t="str">
        <f t="shared" si="5"/>
        <v/>
      </c>
      <c r="G34" s="45"/>
      <c r="H34" s="306" t="str">
        <f>IF(AND(E34="",G34=""),"",SUM(F34:$G$43))</f>
        <v/>
      </c>
      <c r="J34" s="42"/>
      <c r="K34" s="42"/>
      <c r="L34" s="307" t="str">
        <f>IF(OR(J34="",K34=""),"",IF(J34="3",VLOOKUP(M34,'K% (Rede Convencional)'!$B$18:$M$29,8),(IF(J34="2",VLOOKUP(N34,'K% (Rede Convencional)'!$B$18:$M$29,9),(IF(J34="1",VLOOKUP(N34,'K% (Rede Convencional)'!$B$18:$M$29,10),(IF(J34="13",VLOOKUP(N34,'K% (Rede Convencional)'!$B$18:$M$29,11),(IF(J34="12",VLOOKUP(N34,'K% (Rede Convencional)'!$B$18:$M$29,12),0))))))))))</f>
        <v/>
      </c>
      <c r="M34" s="308" t="str">
        <f t="shared" si="6"/>
        <v/>
      </c>
      <c r="N34" s="308" t="str">
        <f>IF(K34="","",IF(K34="4 (4)","a",IF(OR(K34="2 (4)",K34="2 (2)"),VLOOKUP(K34,BT!$AE$21:$AF$22,2,FALSE),IF(OR(K34="1/0 (4)",K34="1/0 (2)"),VLOOKUP(K34,BT!$AE$24:$AF$25,2,FALSE),IF(OR(K34="4/0 (4)",K34="4/0 (2)",K34="4/0 (1/0)"),VLOOKUP(K34,BT!$AE$27:$AF$29,2,FALSE),IF(OR(K34="336,4 (4)",K34="336,4 (2)",K34="336,4 (1/0)",K34="336,4 (4/0)"),VLOOKUP(K34,BT!$AE$31:$AF$34,2,FALSE),0))))))</f>
        <v/>
      </c>
      <c r="O34" s="45"/>
      <c r="P34" s="309" t="str">
        <f t="shared" si="0"/>
        <v/>
      </c>
      <c r="Q34" s="309" t="str">
        <f>IF(P34="","",SUM($P$32:P34))</f>
        <v/>
      </c>
      <c r="R34" s="309" t="str">
        <f t="shared" si="1"/>
        <v/>
      </c>
      <c r="S34" s="310" t="str">
        <f>IF(OR(M34="a",N34="a"),VLOOKUP("a",'Características dos Cabos'!$D$25:$L$29,9),IF(OR(M34="b",M34="c",N34="b",N34="c"),VLOOKUP("b",'Características dos Cabos'!$D$25:$L$29,9),IF(OR(M34="d",M34="e",N34="d",N34="e"),VLOOKUP("c",'Características dos Cabos'!$D$25:$L$29,9),IF(OR(M34="f",M34="g",M34="h",N34="f",N34="g",N34="h"),VLOOKUP("d",'Características dos Cabos'!$D$25:$L$29,9),IF(OR(M34="i",M34="j",M34="l",M34="m",N34="i",N34="j",N34="l",N34="m"),VLOOKUP("e",'Características dos Cabos'!$D$25:$L$29,9),"")))))</f>
        <v/>
      </c>
      <c r="T34" s="309" t="str">
        <f t="shared" si="7"/>
        <v/>
      </c>
      <c r="U34" s="310" t="str">
        <f>IF(OR(M34="a",N34="a"),VLOOKUP("a",'Características dos Cabos'!$D$25:$L$29,3),IF(OR(M34="b",M34="c",N34="b",N34="c"),VLOOKUP("b",'Características dos Cabos'!$D$25:$L$29,3),IF(OR(M34="d",M34="e",N34="d",N34="e"),VLOOKUP("c",'Características dos Cabos'!$D$25:$L$29,3),IF(OR(M34="f",M34="g",M34="h",N34="f",N34="g",N34="h"),VLOOKUP("d",'Características dos Cabos'!$D$25:$L$29,3),IF(OR(M34="i",M34="j",M34="l",M34="m",N34="i",N34="j",N34="l",N34="m"),VLOOKUP("e",'Características dos Cabos'!$D$25:$L$29,3),"")))))</f>
        <v/>
      </c>
      <c r="V34" s="311" t="str">
        <f t="shared" si="2"/>
        <v/>
      </c>
      <c r="W34" s="284"/>
      <c r="X34" s="298">
        <f t="shared" si="8"/>
        <v>0</v>
      </c>
      <c r="Y34" s="298">
        <f t="shared" si="9"/>
        <v>0</v>
      </c>
      <c r="Z34" s="284">
        <f>SUM($O$32:O34)</f>
        <v>0</v>
      </c>
      <c r="AB34" s="299" t="str">
        <f t="shared" si="3"/>
        <v/>
      </c>
      <c r="AC34" s="300">
        <f t="shared" si="4"/>
        <v>0</v>
      </c>
      <c r="AE34" s="325" t="s">
        <v>73</v>
      </c>
      <c r="AF34" s="326" t="s">
        <v>94</v>
      </c>
      <c r="AG34" s="327"/>
      <c r="AH34" s="326"/>
    </row>
    <row r="35" spans="1:34" x14ac:dyDescent="0.25">
      <c r="A35" s="549"/>
      <c r="B35" s="552"/>
      <c r="C35" s="27"/>
      <c r="D35" s="29"/>
      <c r="E35" s="40"/>
      <c r="F35" s="102" t="str">
        <f t="shared" si="5"/>
        <v/>
      </c>
      <c r="G35" s="45"/>
      <c r="H35" s="306" t="str">
        <f>IF(AND(E35="",G35=""),"",SUM(F35:$G$43))</f>
        <v/>
      </c>
      <c r="J35" s="42"/>
      <c r="K35" s="42"/>
      <c r="L35" s="307" t="str">
        <f>IF(OR(J35="",K35=""),"",IF(J35="3",VLOOKUP(M35,'K% (Rede Convencional)'!$B$18:$M$29,8),(IF(J35="2",VLOOKUP(N35,'K% (Rede Convencional)'!$B$18:$M$29,9),(IF(J35="1",VLOOKUP(N35,'K% (Rede Convencional)'!$B$18:$M$29,10),(IF(J35="13",VLOOKUP(N35,'K% (Rede Convencional)'!$B$18:$M$29,11),(IF(J35="12",VLOOKUP(N35,'K% (Rede Convencional)'!$B$18:$M$29,12),0))))))))))</f>
        <v/>
      </c>
      <c r="M35" s="308" t="str">
        <f t="shared" si="6"/>
        <v/>
      </c>
      <c r="N35" s="308" t="str">
        <f>IF(K35="","",IF(K35="4 (4)","a",IF(OR(K35="2 (4)",K35="2 (2)"),VLOOKUP(K35,BT!$AE$21:$AF$22,2,FALSE),IF(OR(K35="1/0 (4)",K35="1/0 (2)"),VLOOKUP(K35,BT!$AE$24:$AF$25,2,FALSE),IF(OR(K35="4/0 (4)",K35="4/0 (2)",K35="4/0 (1/0)"),VLOOKUP(K35,BT!$AE$27:$AF$29,2,FALSE),IF(OR(K35="336,4 (4)",K35="336,4 (2)",K35="336,4 (1/0)",K35="336,4 (4/0)"),VLOOKUP(K35,BT!$AE$31:$AF$34,2,FALSE),0))))))</f>
        <v/>
      </c>
      <c r="O35" s="45"/>
      <c r="P35" s="309" t="str">
        <f t="shared" si="0"/>
        <v/>
      </c>
      <c r="Q35" s="309" t="str">
        <f>IF(P35="","",SUM($P$32:P35))</f>
        <v/>
      </c>
      <c r="R35" s="309" t="str">
        <f t="shared" si="1"/>
        <v/>
      </c>
      <c r="S35" s="310" t="str">
        <f>IF(OR(M35="a",N35="a"),VLOOKUP("a",'Características dos Cabos'!$D$25:$L$29,9),IF(OR(M35="b",M35="c",N35="b",N35="c"),VLOOKUP("b",'Características dos Cabos'!$D$25:$L$29,9),IF(OR(M35="d",M35="e",N35="d",N35="e"),VLOOKUP("c",'Características dos Cabos'!$D$25:$L$29,9),IF(OR(M35="f",M35="g",M35="h",N35="f",N35="g",N35="h"),VLOOKUP("d",'Características dos Cabos'!$D$25:$L$29,9),IF(OR(M35="i",M35="j",M35="l",M35="m",N35="i",N35="j",N35="l",N35="m"),VLOOKUP("e",'Características dos Cabos'!$D$25:$L$29,9),"")))))</f>
        <v/>
      </c>
      <c r="T35" s="309" t="str">
        <f t="shared" si="7"/>
        <v/>
      </c>
      <c r="U35" s="310" t="str">
        <f>IF(OR(M35="a",N35="a"),VLOOKUP("a",'Características dos Cabos'!$D$25:$L$29,3),IF(OR(M35="b",M35="c",N35="b",N35="c"),VLOOKUP("b",'Características dos Cabos'!$D$25:$L$29,3),IF(OR(M35="d",M35="e",N35="d",N35="e"),VLOOKUP("c",'Características dos Cabos'!$D$25:$L$29,3),IF(OR(M35="f",M35="g",M35="h",N35="f",N35="g",N35="h"),VLOOKUP("d",'Características dos Cabos'!$D$25:$L$29,3),IF(OR(M35="i",M35="j",M35="l",M35="m",N35="i",N35="j",N35="l",N35="m"),VLOOKUP("e",'Características dos Cabos'!$D$25:$L$29,3),"")))))</f>
        <v/>
      </c>
      <c r="V35" s="311" t="str">
        <f t="shared" si="2"/>
        <v/>
      </c>
      <c r="W35" s="284"/>
      <c r="X35" s="298">
        <f t="shared" si="8"/>
        <v>0</v>
      </c>
      <c r="Y35" s="298">
        <f t="shared" si="9"/>
        <v>0</v>
      </c>
      <c r="Z35" s="284">
        <f>SUM($O$32:O35)</f>
        <v>0</v>
      </c>
      <c r="AB35" s="299" t="str">
        <f t="shared" si="3"/>
        <v/>
      </c>
      <c r="AC35" s="300">
        <f t="shared" si="4"/>
        <v>0</v>
      </c>
    </row>
    <row r="36" spans="1:34" x14ac:dyDescent="0.25">
      <c r="A36" s="549"/>
      <c r="B36" s="552"/>
      <c r="C36" s="27"/>
      <c r="D36" s="29"/>
      <c r="E36" s="40"/>
      <c r="F36" s="102" t="str">
        <f t="shared" si="5"/>
        <v/>
      </c>
      <c r="G36" s="45"/>
      <c r="H36" s="306" t="str">
        <f>IF(AND(E36="",G36=""),"",SUM(F36:$G$43))</f>
        <v/>
      </c>
      <c r="J36" s="42"/>
      <c r="K36" s="42"/>
      <c r="L36" s="307" t="str">
        <f>IF(OR(J36="",K36=""),"",IF(J36="3",VLOOKUP(M36,'K% (Rede Convencional)'!$B$18:$M$29,8),(IF(J36="2",VLOOKUP(N36,'K% (Rede Convencional)'!$B$18:$M$29,9),(IF(J36="1",VLOOKUP(N36,'K% (Rede Convencional)'!$B$18:$M$29,10),(IF(J36="13",VLOOKUP(N36,'K% (Rede Convencional)'!$B$18:$M$29,11),(IF(J36="12",VLOOKUP(N36,'K% (Rede Convencional)'!$B$18:$M$29,12),0))))))))))</f>
        <v/>
      </c>
      <c r="M36" s="308" t="str">
        <f t="shared" si="6"/>
        <v/>
      </c>
      <c r="N36" s="308" t="str">
        <f>IF(K36="","",IF(K36="4 (4)","a",IF(OR(K36="2 (4)",K36="2 (2)"),VLOOKUP(K36,BT!$AE$21:$AF$22,2,FALSE),IF(OR(K36="1/0 (4)",K36="1/0 (2)"),VLOOKUP(K36,BT!$AE$24:$AF$25,2,FALSE),IF(OR(K36="4/0 (4)",K36="4/0 (2)",K36="4/0 (1/0)"),VLOOKUP(K36,BT!$AE$27:$AF$29,2,FALSE),IF(OR(K36="336,4 (4)",K36="336,4 (2)",K36="336,4 (1/0)",K36="336,4 (4/0)"),VLOOKUP(K36,BT!$AE$31:$AF$34,2,FALSE),0))))))</f>
        <v/>
      </c>
      <c r="O36" s="45"/>
      <c r="P36" s="309" t="str">
        <f t="shared" si="0"/>
        <v/>
      </c>
      <c r="Q36" s="309" t="str">
        <f>IF(P36="","",SUM($P$32:P36))</f>
        <v/>
      </c>
      <c r="R36" s="309" t="str">
        <f t="shared" si="1"/>
        <v/>
      </c>
      <c r="S36" s="310" t="str">
        <f>IF(OR(M36="a",N36="a"),VLOOKUP("a",'Características dos Cabos'!$D$25:$L$29,9),IF(OR(M36="b",M36="c",N36="b",N36="c"),VLOOKUP("b",'Características dos Cabos'!$D$25:$L$29,9),IF(OR(M36="d",M36="e",N36="d",N36="e"),VLOOKUP("c",'Características dos Cabos'!$D$25:$L$29,9),IF(OR(M36="f",M36="g",M36="h",N36="f",N36="g",N36="h"),VLOOKUP("d",'Características dos Cabos'!$D$25:$L$29,9),IF(OR(M36="i",M36="j",M36="l",M36="m",N36="i",N36="j",N36="l",N36="m"),VLOOKUP("e",'Características dos Cabos'!$D$25:$L$29,9),"")))))</f>
        <v/>
      </c>
      <c r="T36" s="309" t="str">
        <f t="shared" si="7"/>
        <v/>
      </c>
      <c r="U36" s="310" t="str">
        <f>IF(OR(M36="a",N36="a"),VLOOKUP("a",'Características dos Cabos'!$D$25:$L$29,3),IF(OR(M36="b",M36="c",N36="b",N36="c"),VLOOKUP("b",'Características dos Cabos'!$D$25:$L$29,3),IF(OR(M36="d",M36="e",N36="d",N36="e"),VLOOKUP("c",'Características dos Cabos'!$D$25:$L$29,3),IF(OR(M36="f",M36="g",M36="h",N36="f",N36="g",N36="h"),VLOOKUP("d",'Características dos Cabos'!$D$25:$L$29,3),IF(OR(M36="i",M36="j",M36="l",M36="m",N36="i",N36="j",N36="l",N36="m"),VLOOKUP("e",'Características dos Cabos'!$D$25:$L$29,3),"")))))</f>
        <v/>
      </c>
      <c r="V36" s="311" t="str">
        <f t="shared" si="2"/>
        <v/>
      </c>
      <c r="W36" s="284"/>
      <c r="X36" s="298">
        <f t="shared" si="8"/>
        <v>0</v>
      </c>
      <c r="Y36" s="298">
        <f t="shared" si="9"/>
        <v>0</v>
      </c>
      <c r="Z36" s="284">
        <f>SUM($O$32:O36)</f>
        <v>0</v>
      </c>
      <c r="AB36" s="299" t="str">
        <f t="shared" si="3"/>
        <v/>
      </c>
      <c r="AC36" s="300">
        <f t="shared" si="4"/>
        <v>0</v>
      </c>
    </row>
    <row r="37" spans="1:34" x14ac:dyDescent="0.25">
      <c r="A37" s="549"/>
      <c r="B37" s="552"/>
      <c r="C37" s="27"/>
      <c r="D37" s="29"/>
      <c r="E37" s="40"/>
      <c r="F37" s="102" t="str">
        <f t="shared" si="5"/>
        <v/>
      </c>
      <c r="G37" s="45"/>
      <c r="H37" s="306" t="str">
        <f>IF(AND(E37="",G37=""),"",SUM(F37:$G$43))</f>
        <v/>
      </c>
      <c r="J37" s="42"/>
      <c r="K37" s="42"/>
      <c r="L37" s="307" t="str">
        <f>IF(OR(J37="",K37=""),"",IF(J37="3",VLOOKUP(M37,'K% (Rede Convencional)'!$B$18:$M$29,8),(IF(J37="2",VLOOKUP(N37,'K% (Rede Convencional)'!$B$18:$M$29,9),(IF(J37="1",VLOOKUP(N37,'K% (Rede Convencional)'!$B$18:$M$29,10),(IF(J37="13",VLOOKUP(N37,'K% (Rede Convencional)'!$B$18:$M$29,11),(IF(J37="12",VLOOKUP(N37,'K% (Rede Convencional)'!$B$18:$M$29,12),0))))))))))</f>
        <v/>
      </c>
      <c r="M37" s="308" t="str">
        <f t="shared" si="6"/>
        <v/>
      </c>
      <c r="N37" s="308" t="str">
        <f>IF(K37="","",IF(K37="4 (4)","a",IF(OR(K37="2 (4)",K37="2 (2)"),VLOOKUP(K37,BT!$AE$21:$AF$22,2,FALSE),IF(OR(K37="1/0 (4)",K37="1/0 (2)"),VLOOKUP(K37,BT!$AE$24:$AF$25,2,FALSE),IF(OR(K37="4/0 (4)",K37="4/0 (2)",K37="4/0 (1/0)"),VLOOKUP(K37,BT!$AE$27:$AF$29,2,FALSE),IF(OR(K37="336,4 (4)",K37="336,4 (2)",K37="336,4 (1/0)",K37="336,4 (4/0)"),VLOOKUP(K37,BT!$AE$31:$AF$34,2,FALSE),0))))))</f>
        <v/>
      </c>
      <c r="O37" s="45"/>
      <c r="P37" s="309" t="str">
        <f t="shared" si="0"/>
        <v/>
      </c>
      <c r="Q37" s="309" t="str">
        <f>IF(P37="","",SUM($P$32:P37))</f>
        <v/>
      </c>
      <c r="R37" s="309" t="str">
        <f t="shared" si="1"/>
        <v/>
      </c>
      <c r="S37" s="310" t="str">
        <f>IF(OR(M37="a",N37="a"),VLOOKUP("a",'Características dos Cabos'!$D$25:$L$29,9),IF(OR(M37="b",M37="c",N37="b",N37="c"),VLOOKUP("b",'Características dos Cabos'!$D$25:$L$29,9),IF(OR(M37="d",M37="e",N37="d",N37="e"),VLOOKUP("c",'Características dos Cabos'!$D$25:$L$29,9),IF(OR(M37="f",M37="g",M37="h",N37="f",N37="g",N37="h"),VLOOKUP("d",'Características dos Cabos'!$D$25:$L$29,9),IF(OR(M37="i",M37="j",M37="l",M37="m",N37="i",N37="j",N37="l",N37="m"),VLOOKUP("e",'Características dos Cabos'!$D$25:$L$29,9),"")))))</f>
        <v/>
      </c>
      <c r="T37" s="309" t="str">
        <f t="shared" si="7"/>
        <v/>
      </c>
      <c r="U37" s="310" t="str">
        <f>IF(OR(M37="a",N37="a"),VLOOKUP("a",'Características dos Cabos'!$D$25:$L$29,3),IF(OR(M37="b",M37="c",N37="b",N37="c"),VLOOKUP("b",'Características dos Cabos'!$D$25:$L$29,3),IF(OR(M37="d",M37="e",N37="d",N37="e"),VLOOKUP("c",'Características dos Cabos'!$D$25:$L$29,3),IF(OR(M37="f",M37="g",M37="h",N37="f",N37="g",N37="h"),VLOOKUP("d",'Características dos Cabos'!$D$25:$L$29,3),IF(OR(M37="i",M37="j",M37="l",M37="m",N37="i",N37="j",N37="l",N37="m"),VLOOKUP("e",'Características dos Cabos'!$D$25:$L$29,3),"")))))</f>
        <v/>
      </c>
      <c r="V37" s="311" t="str">
        <f t="shared" si="2"/>
        <v/>
      </c>
      <c r="W37" s="284"/>
      <c r="X37" s="298">
        <f t="shared" si="8"/>
        <v>0</v>
      </c>
      <c r="Y37" s="298">
        <f t="shared" si="9"/>
        <v>0</v>
      </c>
      <c r="Z37" s="284">
        <f>SUM($O$32:O37)</f>
        <v>0</v>
      </c>
      <c r="AB37" s="299" t="str">
        <f t="shared" si="3"/>
        <v/>
      </c>
      <c r="AC37" s="300">
        <f t="shared" si="4"/>
        <v>0</v>
      </c>
    </row>
    <row r="38" spans="1:34" x14ac:dyDescent="0.25">
      <c r="A38" s="549"/>
      <c r="B38" s="552"/>
      <c r="C38" s="27"/>
      <c r="D38" s="29"/>
      <c r="E38" s="40"/>
      <c r="F38" s="102" t="str">
        <f t="shared" si="5"/>
        <v/>
      </c>
      <c r="G38" s="45"/>
      <c r="H38" s="306" t="str">
        <f>IF(AND(E38="",G38=""),"",SUM(F38:$G$43))</f>
        <v/>
      </c>
      <c r="J38" s="42"/>
      <c r="K38" s="42"/>
      <c r="L38" s="307" t="str">
        <f>IF(OR(J38="",K38=""),"",IF(J38="3",VLOOKUP(M38,'K% (Rede Convencional)'!$B$18:$M$29,8),(IF(J38="2",VLOOKUP(N38,'K% (Rede Convencional)'!$B$18:$M$29,9),(IF(J38="1",VLOOKUP(N38,'K% (Rede Convencional)'!$B$18:$M$29,10),(IF(J38="13",VLOOKUP(N38,'K% (Rede Convencional)'!$B$18:$M$29,11),(IF(J38="12",VLOOKUP(N38,'K% (Rede Convencional)'!$B$18:$M$29,12),0))))))))))</f>
        <v/>
      </c>
      <c r="M38" s="308" t="str">
        <f t="shared" si="6"/>
        <v/>
      </c>
      <c r="N38" s="308" t="str">
        <f>IF(K38="","",IF(K38="4 (4)","a",IF(OR(K38="2 (4)",K38="2 (2)"),VLOOKUP(K38,BT!$AE$21:$AF$22,2,FALSE),IF(OR(K38="1/0 (4)",K38="1/0 (2)"),VLOOKUP(K38,BT!$AE$24:$AF$25,2,FALSE),IF(OR(K38="4/0 (4)",K38="4/0 (2)",K38="4/0 (1/0)"),VLOOKUP(K38,BT!$AE$27:$AF$29,2,FALSE),IF(OR(K38="336,4 (4)",K38="336,4 (2)",K38="336,4 (1/0)",K38="336,4 (4/0)"),VLOOKUP(K38,BT!$AE$31:$AF$34,2,FALSE),0))))))</f>
        <v/>
      </c>
      <c r="O38" s="45"/>
      <c r="P38" s="309" t="str">
        <f t="shared" si="0"/>
        <v/>
      </c>
      <c r="Q38" s="309" t="str">
        <f>IF(P38="","",SUM($P$32:P38))</f>
        <v/>
      </c>
      <c r="R38" s="309" t="str">
        <f t="shared" si="1"/>
        <v/>
      </c>
      <c r="S38" s="310" t="str">
        <f>IF(OR(M38="a",N38="a"),VLOOKUP("a",'Características dos Cabos'!$D$25:$L$29,9),IF(OR(M38="b",M38="c",N38="b",N38="c"),VLOOKUP("b",'Características dos Cabos'!$D$25:$L$29,9),IF(OR(M38="d",M38="e",N38="d",N38="e"),VLOOKUP("c",'Características dos Cabos'!$D$25:$L$29,9),IF(OR(M38="f",M38="g",M38="h",N38="f",N38="g",N38="h"),VLOOKUP("d",'Características dos Cabos'!$D$25:$L$29,9),IF(OR(M38="i",M38="j",M38="l",M38="m",N38="i",N38="j",N38="l",N38="m"),VLOOKUP("e",'Características dos Cabos'!$D$25:$L$29,9),"")))))</f>
        <v/>
      </c>
      <c r="T38" s="309" t="str">
        <f t="shared" si="7"/>
        <v/>
      </c>
      <c r="U38" s="310" t="str">
        <f>IF(OR(M38="a",N38="a"),VLOOKUP("a",'Características dos Cabos'!$D$25:$L$29,3),IF(OR(M38="b",M38="c",N38="b",N38="c"),VLOOKUP("b",'Características dos Cabos'!$D$25:$L$29,3),IF(OR(M38="d",M38="e",N38="d",N38="e"),VLOOKUP("c",'Características dos Cabos'!$D$25:$L$29,3),IF(OR(M38="f",M38="g",M38="h",N38="f",N38="g",N38="h"),VLOOKUP("d",'Características dos Cabos'!$D$25:$L$29,3),IF(OR(M38="i",M38="j",M38="l",M38="m",N38="i",N38="j",N38="l",N38="m"),VLOOKUP("e",'Características dos Cabos'!$D$25:$L$29,3),"")))))</f>
        <v/>
      </c>
      <c r="V38" s="311" t="str">
        <f t="shared" si="2"/>
        <v/>
      </c>
      <c r="W38" s="284"/>
      <c r="X38" s="298">
        <f t="shared" si="8"/>
        <v>0</v>
      </c>
      <c r="Y38" s="298">
        <f t="shared" si="9"/>
        <v>0</v>
      </c>
      <c r="Z38" s="284">
        <f>SUM($O$32:O38)</f>
        <v>0</v>
      </c>
      <c r="AB38" s="299" t="str">
        <f t="shared" si="3"/>
        <v/>
      </c>
      <c r="AC38" s="300">
        <f t="shared" si="4"/>
        <v>0</v>
      </c>
    </row>
    <row r="39" spans="1:34" x14ac:dyDescent="0.25">
      <c r="A39" s="549"/>
      <c r="B39" s="552"/>
      <c r="C39" s="27"/>
      <c r="D39" s="29"/>
      <c r="E39" s="40"/>
      <c r="F39" s="102" t="str">
        <f t="shared" si="5"/>
        <v/>
      </c>
      <c r="G39" s="45"/>
      <c r="H39" s="306" t="str">
        <f>IF(AND(E39="",G39=""),"",SUM(F39:$G$43))</f>
        <v/>
      </c>
      <c r="J39" s="42"/>
      <c r="K39" s="42"/>
      <c r="L39" s="307" t="str">
        <f>IF(OR(J39="",K39=""),"",IF(J39="3",VLOOKUP(M39,'K% (Rede Convencional)'!$B$18:$M$29,8),(IF(J39="2",VLOOKUP(N39,'K% (Rede Convencional)'!$B$18:$M$29,9),(IF(J39="1",VLOOKUP(N39,'K% (Rede Convencional)'!$B$18:$M$29,10),(IF(J39="13",VLOOKUP(N39,'K% (Rede Convencional)'!$B$18:$M$29,11),(IF(J39="12",VLOOKUP(N39,'K% (Rede Convencional)'!$B$18:$M$29,12),0))))))))))</f>
        <v/>
      </c>
      <c r="M39" s="308" t="str">
        <f t="shared" si="6"/>
        <v/>
      </c>
      <c r="N39" s="308" t="str">
        <f>IF(K39="","",IF(K39="4 (4)","a",IF(OR(K39="2 (4)",K39="2 (2)"),VLOOKUP(K39,BT!$AE$21:$AF$22,2,FALSE),IF(OR(K39="1/0 (4)",K39="1/0 (2)"),VLOOKUP(K39,BT!$AE$24:$AF$25,2,FALSE),IF(OR(K39="4/0 (4)",K39="4/0 (2)",K39="4/0 (1/0)"),VLOOKUP(K39,BT!$AE$27:$AF$29,2,FALSE),IF(OR(K39="336,4 (4)",K39="336,4 (2)",K39="336,4 (1/0)",K39="336,4 (4/0)"),VLOOKUP(K39,BT!$AE$31:$AF$34,2,FALSE),0))))))</f>
        <v/>
      </c>
      <c r="O39" s="45"/>
      <c r="P39" s="309" t="str">
        <f t="shared" si="0"/>
        <v/>
      </c>
      <c r="Q39" s="309" t="str">
        <f>IF(P39="","",SUM($P$32:P39))</f>
        <v/>
      </c>
      <c r="R39" s="309" t="str">
        <f t="shared" si="1"/>
        <v/>
      </c>
      <c r="S39" s="310" t="str">
        <f>IF(OR(M39="a",N39="a"),VLOOKUP("a",'Características dos Cabos'!$D$25:$L$29,9),IF(OR(M39="b",M39="c",N39="b",N39="c"),VLOOKUP("b",'Características dos Cabos'!$D$25:$L$29,9),IF(OR(M39="d",M39="e",N39="d",N39="e"),VLOOKUP("c",'Características dos Cabos'!$D$25:$L$29,9),IF(OR(M39="f",M39="g",M39="h",N39="f",N39="g",N39="h"),VLOOKUP("d",'Características dos Cabos'!$D$25:$L$29,9),IF(OR(M39="i",M39="j",M39="l",M39="m",N39="i",N39="j",N39="l",N39="m"),VLOOKUP("e",'Características dos Cabos'!$D$25:$L$29,9),"")))))</f>
        <v/>
      </c>
      <c r="T39" s="309" t="str">
        <f t="shared" si="7"/>
        <v/>
      </c>
      <c r="U39" s="310" t="str">
        <f>IF(OR(M39="a",N39="a"),VLOOKUP("a",'Características dos Cabos'!$D$25:$L$29,3),IF(OR(M39="b",M39="c",N39="b",N39="c"),VLOOKUP("b",'Características dos Cabos'!$D$25:$L$29,3),IF(OR(M39="d",M39="e",N39="d",N39="e"),VLOOKUP("c",'Características dos Cabos'!$D$25:$L$29,3),IF(OR(M39="f",M39="g",M39="h",N39="f",N39="g",N39="h"),VLOOKUP("d",'Características dos Cabos'!$D$25:$L$29,3),IF(OR(M39="i",M39="j",M39="l",M39="m",N39="i",N39="j",N39="l",N39="m"),VLOOKUP("e",'Características dos Cabos'!$D$25:$L$29,3),"")))))</f>
        <v/>
      </c>
      <c r="V39" s="311" t="str">
        <f t="shared" si="2"/>
        <v/>
      </c>
      <c r="W39" s="284"/>
      <c r="X39" s="298">
        <f t="shared" si="8"/>
        <v>0</v>
      </c>
      <c r="Y39" s="298">
        <f t="shared" si="9"/>
        <v>0</v>
      </c>
      <c r="Z39" s="284">
        <f>SUM($O$32:O39)</f>
        <v>0</v>
      </c>
      <c r="AB39" s="299" t="str">
        <f t="shared" si="3"/>
        <v/>
      </c>
      <c r="AC39" s="300">
        <f t="shared" si="4"/>
        <v>0</v>
      </c>
    </row>
    <row r="40" spans="1:34" x14ac:dyDescent="0.25">
      <c r="A40" s="549"/>
      <c r="B40" s="552"/>
      <c r="C40" s="27"/>
      <c r="D40" s="29"/>
      <c r="E40" s="40"/>
      <c r="F40" s="102" t="str">
        <f t="shared" si="5"/>
        <v/>
      </c>
      <c r="G40" s="45"/>
      <c r="H40" s="306" t="str">
        <f>IF(AND(E40="",G40=""),"",SUM(F40:$G$43))</f>
        <v/>
      </c>
      <c r="J40" s="42"/>
      <c r="K40" s="42"/>
      <c r="L40" s="307" t="str">
        <f>IF(OR(J40="",K40=""),"",IF(J40="3",VLOOKUP(M40,'K% (Rede Convencional)'!$B$18:$M$29,8),(IF(J40="2",VLOOKUP(N40,'K% (Rede Convencional)'!$B$18:$M$29,9),(IF(J40="1",VLOOKUP(N40,'K% (Rede Convencional)'!$B$18:$M$29,10),(IF(J40="13",VLOOKUP(N40,'K% (Rede Convencional)'!$B$18:$M$29,11),(IF(J40="12",VLOOKUP(N40,'K% (Rede Convencional)'!$B$18:$M$29,12),0))))))))))</f>
        <v/>
      </c>
      <c r="M40" s="308" t="str">
        <f t="shared" si="6"/>
        <v/>
      </c>
      <c r="N40" s="308" t="str">
        <f>IF(K40="","",IF(K40="4 (4)","a",IF(OR(K40="2 (4)",K40="2 (2)"),VLOOKUP(K40,BT!$AE$21:$AF$22,2,FALSE),IF(OR(K40="1/0 (4)",K40="1/0 (2)"),VLOOKUP(K40,BT!$AE$24:$AF$25,2,FALSE),IF(OR(K40="4/0 (4)",K40="4/0 (2)",K40="4/0 (1/0)"),VLOOKUP(K40,BT!$AE$27:$AF$29,2,FALSE),IF(OR(K40="336,4 (4)",K40="336,4 (2)",K40="336,4 (1/0)",K40="336,4 (4/0)"),VLOOKUP(K40,BT!$AE$31:$AF$34,2,FALSE),0))))))</f>
        <v/>
      </c>
      <c r="O40" s="45"/>
      <c r="P40" s="309" t="str">
        <f t="shared" si="0"/>
        <v/>
      </c>
      <c r="Q40" s="309" t="str">
        <f>IF(P40="","",SUM($P$32:P40))</f>
        <v/>
      </c>
      <c r="R40" s="309" t="str">
        <f t="shared" si="1"/>
        <v/>
      </c>
      <c r="S40" s="310" t="str">
        <f>IF(OR(M40="a",N40="a"),VLOOKUP("a",'Características dos Cabos'!$D$25:$L$29,9),IF(OR(M40="b",M40="c",N40="b",N40="c"),VLOOKUP("b",'Características dos Cabos'!$D$25:$L$29,9),IF(OR(M40="d",M40="e",N40="d",N40="e"),VLOOKUP("c",'Características dos Cabos'!$D$25:$L$29,9),IF(OR(M40="f",M40="g",M40="h",N40="f",N40="g",N40="h"),VLOOKUP("d",'Características dos Cabos'!$D$25:$L$29,9),IF(OR(M40="i",M40="j",M40="l",M40="m",N40="i",N40="j",N40="l",N40="m"),VLOOKUP("e",'Características dos Cabos'!$D$25:$L$29,9),"")))))</f>
        <v/>
      </c>
      <c r="T40" s="309" t="str">
        <f t="shared" si="7"/>
        <v/>
      </c>
      <c r="U40" s="310" t="str">
        <f>IF(OR(M40="a",N40="a"),VLOOKUP("a",'Características dos Cabos'!$D$25:$L$29,3),IF(OR(M40="b",M40="c",N40="b",N40="c"),VLOOKUP("b",'Características dos Cabos'!$D$25:$L$29,3),IF(OR(M40="d",M40="e",N40="d",N40="e"),VLOOKUP("c",'Características dos Cabos'!$D$25:$L$29,3),IF(OR(M40="f",M40="g",M40="h",N40="f",N40="g",N40="h"),VLOOKUP("d",'Características dos Cabos'!$D$25:$L$29,3),IF(OR(M40="i",M40="j",M40="l",M40="m",N40="i",N40="j",N40="l",N40="m"),VLOOKUP("e",'Características dos Cabos'!$D$25:$L$29,3),"")))))</f>
        <v/>
      </c>
      <c r="V40" s="311" t="str">
        <f t="shared" si="2"/>
        <v/>
      </c>
      <c r="W40" s="284"/>
      <c r="X40" s="298">
        <f t="shared" si="8"/>
        <v>0</v>
      </c>
      <c r="Y40" s="298">
        <f t="shared" si="9"/>
        <v>0</v>
      </c>
      <c r="Z40" s="284">
        <f>SUM($O$32:O40)</f>
        <v>0</v>
      </c>
      <c r="AB40" s="299" t="str">
        <f t="shared" si="3"/>
        <v/>
      </c>
      <c r="AC40" s="300">
        <f t="shared" si="4"/>
        <v>0</v>
      </c>
    </row>
    <row r="41" spans="1:34" ht="12.75" customHeight="1" x14ac:dyDescent="0.25">
      <c r="A41" s="549"/>
      <c r="B41" s="552"/>
      <c r="C41" s="27"/>
      <c r="D41" s="29"/>
      <c r="E41" s="40"/>
      <c r="F41" s="102" t="str">
        <f t="shared" si="5"/>
        <v/>
      </c>
      <c r="G41" s="45"/>
      <c r="H41" s="306" t="str">
        <f>IF(AND(E41="",G41=""),"",SUM(F41:$G$43))</f>
        <v/>
      </c>
      <c r="J41" s="42"/>
      <c r="K41" s="42"/>
      <c r="L41" s="307" t="str">
        <f>IF(OR(J41="",K41=""),"",IF(J41="3",VLOOKUP(M41,'K% (Rede Convencional)'!$B$18:$M$29,8),(IF(J41="2",VLOOKUP(N41,'K% (Rede Convencional)'!$B$18:$M$29,9),(IF(J41="1",VLOOKUP(N41,'K% (Rede Convencional)'!$B$18:$M$29,10),(IF(J41="13",VLOOKUP(N41,'K% (Rede Convencional)'!$B$18:$M$29,11),(IF(J41="12",VLOOKUP(N41,'K% (Rede Convencional)'!$B$18:$M$29,12),0))))))))))</f>
        <v/>
      </c>
      <c r="M41" s="308" t="str">
        <f t="shared" si="6"/>
        <v/>
      </c>
      <c r="N41" s="308" t="str">
        <f>IF(K41="","",IF(K41="4 (4)","a",IF(OR(K41="2 (4)",K41="2 (2)"),VLOOKUP(K41,BT!$AE$21:$AF$22,2,FALSE),IF(OR(K41="1/0 (4)",K41="1/0 (2)"),VLOOKUP(K41,BT!$AE$24:$AF$25,2,FALSE),IF(OR(K41="4/0 (4)",K41="4/0 (2)",K41="4/0 (1/0)"),VLOOKUP(K41,BT!$AE$27:$AF$29,2,FALSE),IF(OR(K41="336,4 (4)",K41="336,4 (2)",K41="336,4 (1/0)",K41="336,4 (4/0)"),VLOOKUP(K41,BT!$AE$31:$AF$34,2,FALSE),0))))))</f>
        <v/>
      </c>
      <c r="O41" s="45"/>
      <c r="P41" s="309" t="str">
        <f t="shared" si="0"/>
        <v/>
      </c>
      <c r="Q41" s="309" t="str">
        <f>IF(P41="","",SUM($P$32:P41))</f>
        <v/>
      </c>
      <c r="R41" s="309" t="str">
        <f t="shared" si="1"/>
        <v/>
      </c>
      <c r="S41" s="310" t="str">
        <f>IF(OR(M41="a",N41="a"),VLOOKUP("a",'Características dos Cabos'!$D$25:$L$29,9),IF(OR(M41="b",M41="c",N41="b",N41="c"),VLOOKUP("b",'Características dos Cabos'!$D$25:$L$29,9),IF(OR(M41="d",M41="e",N41="d",N41="e"),VLOOKUP("c",'Características dos Cabos'!$D$25:$L$29,9),IF(OR(M41="f",M41="g",M41="h",N41="f",N41="g",N41="h"),VLOOKUP("d",'Características dos Cabos'!$D$25:$L$29,9),IF(OR(M41="i",M41="j",M41="l",M41="m",N41="i",N41="j",N41="l",N41="m"),VLOOKUP("e",'Características dos Cabos'!$D$25:$L$29,9),"")))))</f>
        <v/>
      </c>
      <c r="T41" s="309" t="str">
        <f t="shared" si="7"/>
        <v/>
      </c>
      <c r="U41" s="310" t="str">
        <f>IF(OR(M41="a",N41="a"),VLOOKUP("a",'Características dos Cabos'!$D$25:$L$29,3),IF(OR(M41="b",M41="c",N41="b",N41="c"),VLOOKUP("b",'Características dos Cabos'!$D$25:$L$29,3),IF(OR(M41="d",M41="e",N41="d",N41="e"),VLOOKUP("c",'Características dos Cabos'!$D$25:$L$29,3),IF(OR(M41="f",M41="g",M41="h",N41="f",N41="g",N41="h"),VLOOKUP("d",'Características dos Cabos'!$D$25:$L$29,3),IF(OR(M41="i",M41="j",M41="l",M41="m",N41="i",N41="j",N41="l",N41="m"),VLOOKUP("e",'Características dos Cabos'!$D$25:$L$29,3),"")))))</f>
        <v/>
      </c>
      <c r="V41" s="311" t="str">
        <f t="shared" si="2"/>
        <v/>
      </c>
      <c r="W41" s="284"/>
      <c r="X41" s="298">
        <f t="shared" si="8"/>
        <v>0</v>
      </c>
      <c r="Y41" s="298">
        <f t="shared" si="9"/>
        <v>0</v>
      </c>
      <c r="Z41" s="284">
        <f>SUM($O$32:O41)</f>
        <v>0</v>
      </c>
      <c r="AB41" s="299" t="str">
        <f t="shared" si="3"/>
        <v/>
      </c>
      <c r="AC41" s="300">
        <f t="shared" si="4"/>
        <v>0</v>
      </c>
    </row>
    <row r="42" spans="1:34" x14ac:dyDescent="0.25">
      <c r="A42" s="549"/>
      <c r="B42" s="552"/>
      <c r="C42" s="27"/>
      <c r="D42" s="29"/>
      <c r="E42" s="40"/>
      <c r="F42" s="102" t="str">
        <f t="shared" si="5"/>
        <v/>
      </c>
      <c r="G42" s="45"/>
      <c r="H42" s="306" t="str">
        <f>IF(AND(E42="",G42=""),"",SUM(F42:$G$43))</f>
        <v/>
      </c>
      <c r="J42" s="42"/>
      <c r="K42" s="42"/>
      <c r="L42" s="307" t="str">
        <f>IF(OR(J42="",K42=""),"",IF(J42="3",VLOOKUP(M42,'K% (Rede Convencional)'!$B$18:$M$29,8),(IF(J42="2",VLOOKUP(N42,'K% (Rede Convencional)'!$B$18:$M$29,9),(IF(J42="1",VLOOKUP(N42,'K% (Rede Convencional)'!$B$18:$M$29,10),(IF(J42="13",VLOOKUP(N42,'K% (Rede Convencional)'!$B$18:$M$29,11),(IF(J42="12",VLOOKUP(N42,'K% (Rede Convencional)'!$B$18:$M$29,12),0))))))))))</f>
        <v/>
      </c>
      <c r="M42" s="308" t="str">
        <f t="shared" si="6"/>
        <v/>
      </c>
      <c r="N42" s="308" t="str">
        <f>IF(K42="","",IF(K42="4 (4)","a",IF(OR(K42="2 (4)",K42="2 (2)"),VLOOKUP(K42,BT!$AE$21:$AF$22,2,FALSE),IF(OR(K42="1/0 (4)",K42="1/0 (2)"),VLOOKUP(K42,BT!$AE$24:$AF$25,2,FALSE),IF(OR(K42="4/0 (4)",K42="4/0 (2)",K42="4/0 (1/0)"),VLOOKUP(K42,BT!$AE$27:$AF$29,2,FALSE),IF(OR(K42="336,4 (4)",K42="336,4 (2)",K42="336,4 (1/0)",K42="336,4 (4/0)"),VLOOKUP(K42,BT!$AE$31:$AF$34,2,FALSE),0))))))</f>
        <v/>
      </c>
      <c r="O42" s="45"/>
      <c r="P42" s="309" t="str">
        <f t="shared" si="0"/>
        <v/>
      </c>
      <c r="Q42" s="309" t="str">
        <f>IF(P42="","",SUM($P$32:P42))</f>
        <v/>
      </c>
      <c r="R42" s="309" t="str">
        <f t="shared" si="1"/>
        <v/>
      </c>
      <c r="S42" s="310" t="str">
        <f>IF(OR(M42="a",N42="a"),VLOOKUP("a",'Características dos Cabos'!$D$25:$L$29,9),IF(OR(M42="b",M42="c",N42="b",N42="c"),VLOOKUP("b",'Características dos Cabos'!$D$25:$L$29,9),IF(OR(M42="d",M42="e",N42="d",N42="e"),VLOOKUP("c",'Características dos Cabos'!$D$25:$L$29,9),IF(OR(M42="f",M42="g",M42="h",N42="f",N42="g",N42="h"),VLOOKUP("d",'Características dos Cabos'!$D$25:$L$29,9),IF(OR(M42="i",M42="j",M42="l",M42="m",N42="i",N42="j",N42="l",N42="m"),VLOOKUP("e",'Características dos Cabos'!$D$25:$L$29,9),"")))))</f>
        <v/>
      </c>
      <c r="T42" s="309" t="str">
        <f t="shared" si="7"/>
        <v/>
      </c>
      <c r="U42" s="310" t="str">
        <f>IF(OR(M42="a",N42="a"),VLOOKUP("a",'Características dos Cabos'!$D$25:$L$29,3),IF(OR(M42="b",M42="c",N42="b",N42="c"),VLOOKUP("b",'Características dos Cabos'!$D$25:$L$29,3),IF(OR(M42="d",M42="e",N42="d",N42="e"),VLOOKUP("c",'Características dos Cabos'!$D$25:$L$29,3),IF(OR(M42="f",M42="g",M42="h",N42="f",N42="g",N42="h"),VLOOKUP("d",'Características dos Cabos'!$D$25:$L$29,3),IF(OR(M42="i",M42="j",M42="l",M42="m",N42="i",N42="j",N42="l",N42="m"),VLOOKUP("e",'Características dos Cabos'!$D$25:$L$29,3),"")))))</f>
        <v/>
      </c>
      <c r="V42" s="311" t="str">
        <f t="shared" si="2"/>
        <v/>
      </c>
      <c r="W42" s="284"/>
      <c r="X42" s="298">
        <f t="shared" si="8"/>
        <v>0</v>
      </c>
      <c r="Y42" s="298">
        <f t="shared" si="9"/>
        <v>0</v>
      </c>
      <c r="Z42" s="284">
        <f>SUM($O$32:O42)</f>
        <v>0</v>
      </c>
      <c r="AB42" s="299" t="str">
        <f t="shared" si="3"/>
        <v/>
      </c>
      <c r="AC42" s="300">
        <f t="shared" si="4"/>
        <v>0</v>
      </c>
    </row>
    <row r="43" spans="1:34" ht="13" thickBot="1" x14ac:dyDescent="0.3">
      <c r="A43" s="550"/>
      <c r="B43" s="553"/>
      <c r="C43" s="28"/>
      <c r="D43" s="30"/>
      <c r="E43" s="41"/>
      <c r="F43" s="64" t="str">
        <f t="shared" si="5"/>
        <v/>
      </c>
      <c r="G43" s="46"/>
      <c r="H43" s="328" t="str">
        <f>IF(AND(E43="",G43=""),"",SUM(F43:$G$43))</f>
        <v/>
      </c>
      <c r="J43" s="43"/>
      <c r="K43" s="43"/>
      <c r="L43" s="329" t="str">
        <f>IF(OR(J43="",K43=""),"",IF(J43="3",VLOOKUP(M43,'K% (Rede Convencional)'!$B$18:$M$29,8),(IF(J43="2",VLOOKUP(N43,'K% (Rede Convencional)'!$B$18:$M$29,9),(IF(J43="1",VLOOKUP(N43,'K% (Rede Convencional)'!$B$18:$M$29,10),(IF(J43="13",VLOOKUP(N43,'K% (Rede Convencional)'!$B$18:$M$29,11),(IF(J43="12",VLOOKUP(N43,'K% (Rede Convencional)'!$B$18:$M$29,12),0))))))))))</f>
        <v/>
      </c>
      <c r="M43" s="330" t="str">
        <f t="shared" si="6"/>
        <v/>
      </c>
      <c r="N43" s="330" t="str">
        <f>IF(K43="","",IF(K43="4 (4)","a",IF(OR(K43="2 (4)",K43="2 (2)"),VLOOKUP(K43,BT!$AE$21:$AF$22,2,FALSE),IF(OR(K43="1/0 (4)",K43="1/0 (2)"),VLOOKUP(K43,BT!$AE$24:$AF$25,2,FALSE),IF(OR(K43="4/0 (4)",K43="4/0 (2)",K43="4/0 (1/0)"),VLOOKUP(K43,BT!$AE$27:$AF$29,2,FALSE),IF(OR(K43="336,4 (4)",K43="336,4 (2)",K43="336,4 (1/0)",K43="336,4 (4/0)"),VLOOKUP(K43,BT!$AE$31:$AF$34,2,FALSE),0))))))</f>
        <v/>
      </c>
      <c r="O43" s="46"/>
      <c r="P43" s="331" t="str">
        <f t="shared" si="0"/>
        <v/>
      </c>
      <c r="Q43" s="331" t="str">
        <f>IF(P43="","",SUM($P$32:P43))</f>
        <v/>
      </c>
      <c r="R43" s="331" t="str">
        <f t="shared" si="1"/>
        <v/>
      </c>
      <c r="S43" s="332" t="str">
        <f>IF(OR(M43="a",N43="a"),VLOOKUP("a",'Características dos Cabos'!$D$25:$L$29,9),IF(OR(M43="b",M43="c",N43="b",N43="c"),VLOOKUP("b",'Características dos Cabos'!$D$25:$L$29,9),IF(OR(M43="d",M43="e",N43="d",N43="e"),VLOOKUP("c",'Características dos Cabos'!$D$25:$L$29,9),IF(OR(M43="f",M43="g",M43="h",N43="f",N43="g",N43="h"),VLOOKUP("d",'Características dos Cabos'!$D$25:$L$29,9),IF(OR(M43="i",M43="j",M43="l",M43="m",N43="i",N43="j",N43="l",N43="m"),VLOOKUP("e",'Características dos Cabos'!$D$25:$L$29,9),"")))))</f>
        <v/>
      </c>
      <c r="T43" s="331" t="str">
        <f t="shared" si="7"/>
        <v/>
      </c>
      <c r="U43" s="332" t="str">
        <f>IF(OR(M43="a",N43="a"),VLOOKUP("a",'Características dos Cabos'!$D$25:$L$29,3),IF(OR(M43="b",M43="c",N43="b",N43="c"),VLOOKUP("b",'Características dos Cabos'!$D$25:$L$29,3),IF(OR(M43="d",M43="e",N43="d",N43="e"),VLOOKUP("c",'Características dos Cabos'!$D$25:$L$29,3),IF(OR(M43="f",M43="g",M43="h",N43="f",N43="g",N43="h"),VLOOKUP("d",'Características dos Cabos'!$D$25:$L$29,3),IF(OR(M43="i",M43="j",M43="l",M43="m",N43="i",N43="j",N43="l",N43="m"),VLOOKUP("e",'Características dos Cabos'!$D$25:$L$29,3),"")))))</f>
        <v/>
      </c>
      <c r="V43" s="333" t="str">
        <f t="shared" si="2"/>
        <v/>
      </c>
      <c r="W43" s="284"/>
      <c r="X43" s="298">
        <f t="shared" si="8"/>
        <v>0</v>
      </c>
      <c r="Y43" s="298">
        <f t="shared" si="9"/>
        <v>0</v>
      </c>
      <c r="Z43" s="284">
        <f>SUM($O$32:O43)</f>
        <v>0</v>
      </c>
      <c r="AB43" s="299" t="str">
        <f t="shared" si="3"/>
        <v/>
      </c>
      <c r="AC43" s="334">
        <f t="shared" si="4"/>
        <v>0</v>
      </c>
    </row>
    <row r="44" spans="1:34" ht="11.25" customHeight="1" thickTop="1" thickBot="1" x14ac:dyDescent="0.3">
      <c r="A44" s="105"/>
      <c r="B44" s="105"/>
      <c r="C44" s="104"/>
      <c r="D44" s="104"/>
      <c r="E44" s="335"/>
      <c r="F44" s="336"/>
      <c r="G44" s="105"/>
      <c r="H44" s="105"/>
      <c r="J44" s="105"/>
      <c r="K44" s="105"/>
      <c r="L44" s="337"/>
      <c r="M44" s="338"/>
      <c r="N44" s="338"/>
      <c r="O44" s="105"/>
      <c r="P44" s="339"/>
      <c r="Q44" s="105"/>
      <c r="R44" s="340"/>
      <c r="S44" s="341"/>
      <c r="T44" s="339"/>
      <c r="U44" s="341"/>
      <c r="V44" s="342"/>
      <c r="W44" s="284"/>
      <c r="X44" s="298"/>
      <c r="Y44" s="298"/>
      <c r="Z44" s="284"/>
    </row>
    <row r="45" spans="1:34" ht="15" customHeight="1" thickTop="1" x14ac:dyDescent="0.25">
      <c r="A45" s="507" t="s">
        <v>248</v>
      </c>
      <c r="B45" s="510" t="str">
        <f>CONCATENATE("Ramal 1 - Derivando no ponto ",C45)</f>
        <v xml:space="preserve">Ramal 1 - Derivando no ponto </v>
      </c>
      <c r="C45" s="36"/>
      <c r="D45" s="32"/>
      <c r="E45" s="47"/>
      <c r="F45" s="102"/>
      <c r="G45" s="47"/>
      <c r="H45" s="320" t="str">
        <f>IF(AND(E45="",G45=""),"",SUM(F45:G54))</f>
        <v/>
      </c>
      <c r="J45" s="32"/>
      <c r="K45" s="32"/>
      <c r="L45" s="321" t="str">
        <f>IF(OR(J45="",K45=""),"",IF(J45="3",VLOOKUP(M45,'K% (Rede Convencional)'!$B$18:$M$29,8),(IF(J45="2",VLOOKUP(N45,'K% (Rede Convencional)'!$B$18:$M$29,9),(IF(J45="1",VLOOKUP(N45,'K% (Rede Convencional)'!$B$18:$M$29,10),(IF(J45="13",VLOOKUP(N45,'K% (Rede Convencional)'!$B$18:$M$29,11),(IF(J45="12",VLOOKUP(N45,'K% (Rede Convencional)'!$B$18:$M$29,12),0))))))))))</f>
        <v/>
      </c>
      <c r="M45" s="294" t="str">
        <f t="shared" si="6"/>
        <v/>
      </c>
      <c r="N45" s="294" t="str">
        <f>IF(K45="","",IF(K45="4 (4)","a",IF(OR(K45="2 (4)",K45="2 (2)"),VLOOKUP(K45,BT!$AE$21:$AF$22,2,FALSE),IF(OR(K45="1/0 (4)",K45="1/0 (2)"),VLOOKUP(K45,BT!$AE$24:$AF$25,2,FALSE),IF(OR(K45="4/0 (4)",K45="4/0 (2)",K45="4/0 (1/0)"),VLOOKUP(K45,BT!$AE$27:$AF$29,2,FALSE),IF(OR(K45="336,4 (4)",K45="336,4 (2)",K45="336,4 (1/0)",K45="336,4 (4/0)"),VLOOKUP(K45,BT!$AE$31:$AF$34,2,FALSE),0))))))</f>
        <v/>
      </c>
      <c r="O45" s="47"/>
      <c r="P45" s="322" t="str">
        <f t="shared" ref="P45:P76" si="10">IF(OR(H45="",L45="",O45=""),"",L45*H45*O45)</f>
        <v/>
      </c>
      <c r="Q45" s="322" t="str">
        <f>IF(P45="","",P45+VLOOKUP(C45,$D$21:$Q$43,13,FALSE))</f>
        <v/>
      </c>
      <c r="R45" s="322" t="str">
        <f t="shared" ref="R45:R76" si="11">IF(H45="","",IF(J45="3",H45*1000/($D$14*SQRT(3)),IF(J45="2",H45*1000*SQRT(3)/($D$14*2),IF(J45="1",H45*1000*SQRT(3)/$D$14,IF(J45="13",H45*1000/$D$16,IF(J45="12",H45*1000*2/$D$16,"erro"))))))</f>
        <v/>
      </c>
      <c r="S45" s="323" t="str">
        <f>IF(OR(M45="a",N45="a"),VLOOKUP("a",'Características dos Cabos'!$D$25:$L$29,9),IF(OR(M45="b",M45="c",N45="b",N45="c"),VLOOKUP("b",'Características dos Cabos'!$D$25:$L$29,9),IF(OR(M45="d",M45="e",N45="d",N45="e"),VLOOKUP("c",'Características dos Cabos'!$D$25:$L$29,9),IF(OR(M45="f",M45="g",M45="h",N45="f",N45="g",N45="h"),VLOOKUP("d",'Características dos Cabos'!$D$25:$L$29,9),IF(OR(M45="i",M45="j",M45="l",M45="m",N45="i",N45="j",N45="l",N45="m"),VLOOKUP("e",'Características dos Cabos'!$D$25:$L$29,9),"")))))</f>
        <v/>
      </c>
      <c r="T45" s="322" t="str">
        <f t="shared" si="7"/>
        <v/>
      </c>
      <c r="U45" s="323" t="str">
        <f>IF(OR(M45="a",N45="a"),VLOOKUP("a",'Características dos Cabos'!$D$25:$L$29,3),IF(OR(M45="b",M45="c",N45="b",N45="c"),VLOOKUP("b",'Características dos Cabos'!$D$25:$L$29,3),IF(OR(M45="d",M45="e",N45="d",N45="e"),VLOOKUP("c",'Características dos Cabos'!$D$25:$L$29,3),IF(OR(M45="f",M45="g",M45="h",N45="f",N45="g",N45="h"),VLOOKUP("d",'Características dos Cabos'!$D$25:$L$29,3),IF(OR(M45="i",M45="j",M45="l",M45="m",N45="i",N45="j",N45="l",N45="m"),VLOOKUP("e",'Características dos Cabos'!$D$25:$L$29,3),"")))))</f>
        <v/>
      </c>
      <c r="V45" s="324" t="str">
        <f t="shared" ref="V45:V76" si="12">IF(OR(O45="",$G$16="",H45="",N45=""),"",IF(J45="3",3*$L$12*U45*O45/1000*R45^2*8.76,IF(OR(J45="2",J45="13"),2*$L$12*U45*O45/1000*R45^2*8.76,IF(OR(J45="1",J45="12"),$L$12*U45*O45/1000*R45^2*8.76))))</f>
        <v/>
      </c>
      <c r="W45" s="343" t="e">
        <f>VLOOKUP(C45,$D$21:$Q$43,13,FALSE)</f>
        <v>#N/A</v>
      </c>
      <c r="X45" s="298">
        <f t="shared" si="8"/>
        <v>0</v>
      </c>
      <c r="Y45" s="298">
        <f t="shared" si="9"/>
        <v>0</v>
      </c>
      <c r="Z45" s="284"/>
    </row>
    <row r="46" spans="1:34" ht="15" customHeight="1" x14ac:dyDescent="0.25">
      <c r="A46" s="508"/>
      <c r="B46" s="511"/>
      <c r="C46" s="37"/>
      <c r="D46" s="33"/>
      <c r="E46" s="48"/>
      <c r="F46" s="102"/>
      <c r="G46" s="48"/>
      <c r="H46" s="306" t="str">
        <f>IF(AND(E46="",G46=""),"",SUM(F46:G54))</f>
        <v/>
      </c>
      <c r="J46" s="33"/>
      <c r="K46" s="33"/>
      <c r="L46" s="307" t="str">
        <f>IF(OR(J46="",K46=""),"",IF(J46="3",VLOOKUP(M46,'K% (Rede Convencional)'!$B$18:$M$29,8),(IF(J46="2",VLOOKUP(N46,'K% (Rede Convencional)'!$B$18:$M$29,9),(IF(J46="1",VLOOKUP(N46,'K% (Rede Convencional)'!$B$18:$M$29,10),(IF(J46="13",VLOOKUP(N46,'K% (Rede Convencional)'!$B$18:$M$29,11),(IF(J46="12",VLOOKUP(N46,'K% (Rede Convencional)'!$B$18:$M$29,12),0))))))))))</f>
        <v/>
      </c>
      <c r="M46" s="308" t="str">
        <f t="shared" si="6"/>
        <v/>
      </c>
      <c r="N46" s="308" t="str">
        <f>IF(K46="","",IF(K46="4 (4)","a",IF(OR(K46="2 (4)",K46="2 (2)"),VLOOKUP(K46,BT!$AE$21:$AF$22,2,FALSE),IF(OR(K46="1/0 (4)",K46="1/0 (2)"),VLOOKUP(K46,BT!$AE$24:$AF$25,2,FALSE),IF(OR(K46="4/0 (4)",K46="4/0 (2)",K46="4/0 (1/0)"),VLOOKUP(K46,BT!$AE$27:$AF$29,2,FALSE),IF(OR(K46="336,4 (4)",K46="336,4 (2)",K46="336,4 (1/0)",K46="336,4 (4/0)"),VLOOKUP(K46,BT!$AE$31:$AF$34,2,FALSE),0))))))</f>
        <v/>
      </c>
      <c r="O46" s="48"/>
      <c r="P46" s="309" t="str">
        <f t="shared" si="10"/>
        <v/>
      </c>
      <c r="Q46" s="309" t="str">
        <f>IF(P46="","",SUM($P$45:P46)+$W$45)</f>
        <v/>
      </c>
      <c r="R46" s="309" t="str">
        <f t="shared" si="11"/>
        <v/>
      </c>
      <c r="S46" s="310" t="str">
        <f>IF(OR(M46="a",N46="a"),VLOOKUP("a",'Características dos Cabos'!$D$25:$L$29,9),IF(OR(M46="b",M46="c",N46="b",N46="c"),VLOOKUP("b",'Características dos Cabos'!$D$25:$L$29,9),IF(OR(M46="d",M46="e",N46="d",N46="e"),VLOOKUP("c",'Características dos Cabos'!$D$25:$L$29,9),IF(OR(M46="f",M46="g",M46="h",N46="f",N46="g",N46="h"),VLOOKUP("d",'Características dos Cabos'!$D$25:$L$29,9),IF(OR(M46="i",M46="j",M46="l",M46="m",N46="i",N46="j",N46="l",N46="m"),VLOOKUP("e",'Características dos Cabos'!$D$25:$L$29,9),"")))))</f>
        <v/>
      </c>
      <c r="T46" s="309" t="str">
        <f t="shared" si="7"/>
        <v/>
      </c>
      <c r="U46" s="310" t="str">
        <f>IF(OR(M46="a",N46="a"),VLOOKUP("a",'Características dos Cabos'!$D$25:$L$29,3),IF(OR(M46="b",M46="c",N46="b",N46="c"),VLOOKUP("b",'Características dos Cabos'!$D$25:$L$29,3),IF(OR(M46="d",M46="e",N46="d",N46="e"),VLOOKUP("c",'Características dos Cabos'!$D$25:$L$29,3),IF(OR(M46="f",M46="g",M46="h",N46="f",N46="g",N46="h"),VLOOKUP("d",'Características dos Cabos'!$D$25:$L$29,3),IF(OR(M46="i",M46="j",M46="l",M46="m",N46="i",N46="j",N46="l",N46="m"),VLOOKUP("e",'Características dos Cabos'!$D$25:$L$29,3),"")))))</f>
        <v/>
      </c>
      <c r="V46" s="311" t="str">
        <f t="shared" si="12"/>
        <v/>
      </c>
      <c r="W46" s="284"/>
      <c r="X46" s="298">
        <f t="shared" si="8"/>
        <v>0</v>
      </c>
      <c r="Y46" s="298">
        <f t="shared" si="9"/>
        <v>0</v>
      </c>
      <c r="Z46" s="284"/>
    </row>
    <row r="47" spans="1:34" ht="15" customHeight="1" x14ac:dyDescent="0.25">
      <c r="A47" s="508"/>
      <c r="B47" s="511"/>
      <c r="C47" s="37"/>
      <c r="D47" s="33"/>
      <c r="E47" s="48"/>
      <c r="F47" s="102" t="str">
        <f t="shared" si="5"/>
        <v/>
      </c>
      <c r="G47" s="48"/>
      <c r="H47" s="306" t="str">
        <f>IF(AND(E47="",G47=""),"",SUM(F47:G54))</f>
        <v/>
      </c>
      <c r="J47" s="33"/>
      <c r="K47" s="33"/>
      <c r="L47" s="307" t="str">
        <f>IF(OR(J47="",K47=""),"",IF(J47="3",VLOOKUP(M47,'K% (Rede Convencional)'!$B$18:$M$29,8),(IF(J47="2",VLOOKUP(N47,'K% (Rede Convencional)'!$B$18:$M$29,9),(IF(J47="1",VLOOKUP(N47,'K% (Rede Convencional)'!$B$18:$M$29,10),(IF(J47="13",VLOOKUP(N47,'K% (Rede Convencional)'!$B$18:$M$29,11),(IF(J47="12",VLOOKUP(N47,'K% (Rede Convencional)'!$B$18:$M$29,12),0))))))))))</f>
        <v/>
      </c>
      <c r="M47" s="308" t="str">
        <f t="shared" si="6"/>
        <v/>
      </c>
      <c r="N47" s="308" t="str">
        <f>IF(K47="","",IF(K47="4 (4)","a",IF(OR(K47="2 (4)",K47="2 (2)"),VLOOKUP(K47,BT!$AE$21:$AF$22,2,FALSE),IF(OR(K47="1/0 (4)",K47="1/0 (2)"),VLOOKUP(K47,BT!$AE$24:$AF$25,2,FALSE),IF(OR(K47="4/0 (4)",K47="4/0 (2)",K47="4/0 (1/0)"),VLOOKUP(K47,BT!$AE$27:$AF$29,2,FALSE),IF(OR(K47="336,4 (4)",K47="336,4 (2)",K47="336,4 (1/0)",K47="336,4 (4/0)"),VLOOKUP(K47,BT!$AE$31:$AF$34,2,FALSE),0))))))</f>
        <v/>
      </c>
      <c r="O47" s="48"/>
      <c r="P47" s="309" t="str">
        <f t="shared" si="10"/>
        <v/>
      </c>
      <c r="Q47" s="309" t="str">
        <f>IF(P47="","",SUM($P$45:P47)+$W$45)</f>
        <v/>
      </c>
      <c r="R47" s="309" t="str">
        <f t="shared" si="11"/>
        <v/>
      </c>
      <c r="S47" s="310" t="str">
        <f>IF(OR(M47="a",N47="a"),VLOOKUP("a",'Características dos Cabos'!$D$25:$L$29,9),IF(OR(M47="b",M47="c",N47="b",N47="c"),VLOOKUP("b",'Características dos Cabos'!$D$25:$L$29,9),IF(OR(M47="d",M47="e",N47="d",N47="e"),VLOOKUP("c",'Características dos Cabos'!$D$25:$L$29,9),IF(OR(M47="f",M47="g",M47="h",N47="f",N47="g",N47="h"),VLOOKUP("d",'Características dos Cabos'!$D$25:$L$29,9),IF(OR(M47="i",M47="j",M47="l",M47="m",N47="i",N47="j",N47="l",N47="m"),VLOOKUP("e",'Características dos Cabos'!$D$25:$L$29,9),"")))))</f>
        <v/>
      </c>
      <c r="T47" s="309" t="str">
        <f t="shared" si="7"/>
        <v/>
      </c>
      <c r="U47" s="310" t="str">
        <f>IF(OR(M47="a",N47="a"),VLOOKUP("a",'Características dos Cabos'!$D$25:$L$29,3),IF(OR(M47="b",M47="c",N47="b",N47="c"),VLOOKUP("b",'Características dos Cabos'!$D$25:$L$29,3),IF(OR(M47="d",M47="e",N47="d",N47="e"),VLOOKUP("c",'Características dos Cabos'!$D$25:$L$29,3),IF(OR(M47="f",M47="g",M47="h",N47="f",N47="g",N47="h"),VLOOKUP("d",'Características dos Cabos'!$D$25:$L$29,3),IF(OR(M47="i",M47="j",M47="l",M47="m",N47="i",N47="j",N47="l",N47="m"),VLOOKUP("e",'Características dos Cabos'!$D$25:$L$29,3),"")))))</f>
        <v/>
      </c>
      <c r="V47" s="311" t="str">
        <f t="shared" si="12"/>
        <v/>
      </c>
      <c r="W47" s="284"/>
      <c r="X47" s="298">
        <f t="shared" si="8"/>
        <v>0</v>
      </c>
      <c r="Y47" s="298">
        <f t="shared" si="9"/>
        <v>0</v>
      </c>
      <c r="Z47" s="284"/>
    </row>
    <row r="48" spans="1:34" ht="15" customHeight="1" x14ac:dyDescent="0.25">
      <c r="A48" s="508"/>
      <c r="B48" s="511"/>
      <c r="C48" s="37"/>
      <c r="D48" s="33"/>
      <c r="E48" s="48"/>
      <c r="F48" s="102" t="str">
        <f t="shared" si="5"/>
        <v/>
      </c>
      <c r="G48" s="48"/>
      <c r="H48" s="306" t="str">
        <f>IF(AND(E48="",G48=""),"",SUM(F48:G54))</f>
        <v/>
      </c>
      <c r="J48" s="33"/>
      <c r="K48" s="33"/>
      <c r="L48" s="307" t="str">
        <f>IF(OR(J48="",K48=""),"",IF(J48="3",VLOOKUP(M48,'K% (Rede Convencional)'!$B$18:$M$29,8),(IF(J48="2",VLOOKUP(N48,'K% (Rede Convencional)'!$B$18:$M$29,9),(IF(J48="1",VLOOKUP(N48,'K% (Rede Convencional)'!$B$18:$M$29,10),(IF(J48="13",VLOOKUP(N48,'K% (Rede Convencional)'!$B$18:$M$29,11),(IF(J48="12",VLOOKUP(N48,'K% (Rede Convencional)'!$B$18:$M$29,12),0))))))))))</f>
        <v/>
      </c>
      <c r="M48" s="308" t="str">
        <f t="shared" si="6"/>
        <v/>
      </c>
      <c r="N48" s="308" t="str">
        <f>IF(K48="","",IF(K48="4 (4)","a",IF(OR(K48="2 (4)",K48="2 (2)"),VLOOKUP(K48,BT!$AE$21:$AF$22,2,FALSE),IF(OR(K48="1/0 (4)",K48="1/0 (2)"),VLOOKUP(K48,BT!$AE$24:$AF$25,2,FALSE),IF(OR(K48="4/0 (4)",K48="4/0 (2)",K48="4/0 (1/0)"),VLOOKUP(K48,BT!$AE$27:$AF$29,2,FALSE),IF(OR(K48="336,4 (4)",K48="336,4 (2)",K48="336,4 (1/0)",K48="336,4 (4/0)"),VLOOKUP(K48,BT!$AE$31:$AF$34,2,FALSE),0))))))</f>
        <v/>
      </c>
      <c r="O48" s="48"/>
      <c r="P48" s="309" t="str">
        <f t="shared" si="10"/>
        <v/>
      </c>
      <c r="Q48" s="309" t="str">
        <f>IF(P48="","",SUM($P$45:P48)+$W$45)</f>
        <v/>
      </c>
      <c r="R48" s="309" t="str">
        <f t="shared" si="11"/>
        <v/>
      </c>
      <c r="S48" s="310" t="str">
        <f>IF(OR(M48="a",N48="a"),VLOOKUP("a",'Características dos Cabos'!$D$25:$L$29,9),IF(OR(M48="b",M48="c",N48="b",N48="c"),VLOOKUP("b",'Características dos Cabos'!$D$25:$L$29,9),IF(OR(M48="d",M48="e",N48="d",N48="e"),VLOOKUP("c",'Características dos Cabos'!$D$25:$L$29,9),IF(OR(M48="f",M48="g",M48="h",N48="f",N48="g",N48="h"),VLOOKUP("d",'Características dos Cabos'!$D$25:$L$29,9),IF(OR(M48="i",M48="j",M48="l",M48="m",N48="i",N48="j",N48="l",N48="m"),VLOOKUP("e",'Características dos Cabos'!$D$25:$L$29,9),"")))))</f>
        <v/>
      </c>
      <c r="T48" s="309" t="str">
        <f t="shared" si="7"/>
        <v/>
      </c>
      <c r="U48" s="310" t="str">
        <f>IF(OR(M48="a",N48="a"),VLOOKUP("a",'Características dos Cabos'!$D$25:$L$29,3),IF(OR(M48="b",M48="c",N48="b",N48="c"),VLOOKUP("b",'Características dos Cabos'!$D$25:$L$29,3),IF(OR(M48="d",M48="e",N48="d",N48="e"),VLOOKUP("c",'Características dos Cabos'!$D$25:$L$29,3),IF(OR(M48="f",M48="g",M48="h",N48="f",N48="g",N48="h"),VLOOKUP("d",'Características dos Cabos'!$D$25:$L$29,3),IF(OR(M48="i",M48="j",M48="l",M48="m",N48="i",N48="j",N48="l",N48="m"),VLOOKUP("e",'Características dos Cabos'!$D$25:$L$29,3),"")))))</f>
        <v/>
      </c>
      <c r="V48" s="311" t="str">
        <f t="shared" si="12"/>
        <v/>
      </c>
      <c r="W48" s="284"/>
      <c r="X48" s="298">
        <f t="shared" si="8"/>
        <v>0</v>
      </c>
      <c r="Y48" s="298">
        <f t="shared" si="9"/>
        <v>0</v>
      </c>
      <c r="Z48" s="284"/>
    </row>
    <row r="49" spans="1:26" ht="15" customHeight="1" x14ac:dyDescent="0.25">
      <c r="A49" s="508"/>
      <c r="B49" s="511"/>
      <c r="C49" s="37"/>
      <c r="D49" s="33"/>
      <c r="E49" s="48"/>
      <c r="F49" s="102" t="str">
        <f t="shared" si="5"/>
        <v/>
      </c>
      <c r="G49" s="48"/>
      <c r="H49" s="306" t="str">
        <f>IF(AND(E49="",G49=""),"",SUM(F49:G54))</f>
        <v/>
      </c>
      <c r="J49" s="33"/>
      <c r="K49" s="33"/>
      <c r="L49" s="307" t="str">
        <f>IF(OR(J49="",K49=""),"",IF(J49="3",VLOOKUP(M49,'K% (Rede Convencional)'!$B$18:$M$29,8),(IF(J49="2",VLOOKUP(N49,'K% (Rede Convencional)'!$B$18:$M$29,9),(IF(J49="1",VLOOKUP(N49,'K% (Rede Convencional)'!$B$18:$M$29,10),(IF(J49="13",VLOOKUP(N49,'K% (Rede Convencional)'!$B$18:$M$29,11),(IF(J49="12",VLOOKUP(N49,'K% (Rede Convencional)'!$B$18:$M$29,12),0))))))))))</f>
        <v/>
      </c>
      <c r="M49" s="308" t="str">
        <f t="shared" si="6"/>
        <v/>
      </c>
      <c r="N49" s="308" t="str">
        <f>IF(K49="","",IF(K49="4 (4)","a",IF(OR(K49="2 (4)",K49="2 (2)"),VLOOKUP(K49,BT!$AE$21:$AF$22,2,FALSE),IF(OR(K49="1/0 (4)",K49="1/0 (2)"),VLOOKUP(K49,BT!$AE$24:$AF$25,2,FALSE),IF(OR(K49="4/0 (4)",K49="4/0 (2)",K49="4/0 (1/0)"),VLOOKUP(K49,BT!$AE$27:$AF$29,2,FALSE),IF(OR(K49="336,4 (4)",K49="336,4 (2)",K49="336,4 (1/0)",K49="336,4 (4/0)"),VLOOKUP(K49,BT!$AE$31:$AF$34,2,FALSE),0))))))</f>
        <v/>
      </c>
      <c r="O49" s="48"/>
      <c r="P49" s="309" t="str">
        <f t="shared" si="10"/>
        <v/>
      </c>
      <c r="Q49" s="309" t="str">
        <f>IF(P49="","",SUM($P$45:P49)+$W$45)</f>
        <v/>
      </c>
      <c r="R49" s="309" t="str">
        <f t="shared" si="11"/>
        <v/>
      </c>
      <c r="S49" s="310" t="str">
        <f>IF(OR(M49="a",N49="a"),VLOOKUP("a",'Características dos Cabos'!$D$25:$L$29,9),IF(OR(M49="b",M49="c",N49="b",N49="c"),VLOOKUP("b",'Características dos Cabos'!$D$25:$L$29,9),IF(OR(M49="d",M49="e",N49="d",N49="e"),VLOOKUP("c",'Características dos Cabos'!$D$25:$L$29,9),IF(OR(M49="f",M49="g",M49="h",N49="f",N49="g",N49="h"),VLOOKUP("d",'Características dos Cabos'!$D$25:$L$29,9),IF(OR(M49="i",M49="j",M49="l",M49="m",N49="i",N49="j",N49="l",N49="m"),VLOOKUP("e",'Características dos Cabos'!$D$25:$L$29,9),"")))))</f>
        <v/>
      </c>
      <c r="T49" s="309" t="str">
        <f t="shared" si="7"/>
        <v/>
      </c>
      <c r="U49" s="310" t="str">
        <f>IF(OR(M49="a",N49="a"),VLOOKUP("a",'Características dos Cabos'!$D$25:$L$29,3),IF(OR(M49="b",M49="c",N49="b",N49="c"),VLOOKUP("b",'Características dos Cabos'!$D$25:$L$29,3),IF(OR(M49="d",M49="e",N49="d",N49="e"),VLOOKUP("c",'Características dos Cabos'!$D$25:$L$29,3),IF(OR(M49="f",M49="g",M49="h",N49="f",N49="g",N49="h"),VLOOKUP("d",'Características dos Cabos'!$D$25:$L$29,3),IF(OR(M49="i",M49="j",M49="l",M49="m",N49="i",N49="j",N49="l",N49="m"),VLOOKUP("e",'Características dos Cabos'!$D$25:$L$29,3),"")))))</f>
        <v/>
      </c>
      <c r="V49" s="311" t="str">
        <f t="shared" si="12"/>
        <v/>
      </c>
      <c r="W49" s="284"/>
      <c r="X49" s="298">
        <f t="shared" si="8"/>
        <v>0</v>
      </c>
      <c r="Y49" s="298">
        <f t="shared" si="9"/>
        <v>0</v>
      </c>
      <c r="Z49" s="284"/>
    </row>
    <row r="50" spans="1:26" ht="15" customHeight="1" x14ac:dyDescent="0.25">
      <c r="A50" s="508"/>
      <c r="B50" s="511"/>
      <c r="C50" s="37"/>
      <c r="D50" s="33"/>
      <c r="E50" s="48"/>
      <c r="F50" s="102" t="str">
        <f t="shared" si="5"/>
        <v/>
      </c>
      <c r="G50" s="48"/>
      <c r="H50" s="306" t="str">
        <f>IF(AND(E50="",G50=""),"",SUM(F50:G54))</f>
        <v/>
      </c>
      <c r="J50" s="33"/>
      <c r="K50" s="33"/>
      <c r="L50" s="307" t="str">
        <f>IF(OR(J50="",K50=""),"",IF(J50="3",VLOOKUP(M50,'K% (Rede Convencional)'!$B$18:$M$29,8),(IF(J50="2",VLOOKUP(N50,'K% (Rede Convencional)'!$B$18:$M$29,9),(IF(J50="1",VLOOKUP(N50,'K% (Rede Convencional)'!$B$18:$M$29,10),(IF(J50="13",VLOOKUP(N50,'K% (Rede Convencional)'!$B$18:$M$29,11),(IF(J50="12",VLOOKUP(N50,'K% (Rede Convencional)'!$B$18:$M$29,12),0))))))))))</f>
        <v/>
      </c>
      <c r="M50" s="308" t="str">
        <f t="shared" si="6"/>
        <v/>
      </c>
      <c r="N50" s="308" t="str">
        <f>IF(K50="","",IF(K50="4 (4)","a",IF(OR(K50="2 (4)",K50="2 (2)"),VLOOKUP(K50,BT!$AE$21:$AF$22,2,FALSE),IF(OR(K50="1/0 (4)",K50="1/0 (2)"),VLOOKUP(K50,BT!$AE$24:$AF$25,2,FALSE),IF(OR(K50="4/0 (4)",K50="4/0 (2)",K50="4/0 (1/0)"),VLOOKUP(K50,BT!$AE$27:$AF$29,2,FALSE),IF(OR(K50="336,4 (4)",K50="336,4 (2)",K50="336,4 (1/0)",K50="336,4 (4/0)"),VLOOKUP(K50,BT!$AE$31:$AF$34,2,FALSE),0))))))</f>
        <v/>
      </c>
      <c r="O50" s="48"/>
      <c r="P50" s="309" t="str">
        <f t="shared" si="10"/>
        <v/>
      </c>
      <c r="Q50" s="309" t="str">
        <f>IF(P50="","",SUM($P$45:P50)+$W$45)</f>
        <v/>
      </c>
      <c r="R50" s="309" t="str">
        <f t="shared" si="11"/>
        <v/>
      </c>
      <c r="S50" s="310" t="str">
        <f>IF(OR(M50="a",N50="a"),VLOOKUP("a",'Características dos Cabos'!$D$25:$L$29,9),IF(OR(M50="b",M50="c",N50="b",N50="c"),VLOOKUP("b",'Características dos Cabos'!$D$25:$L$29,9),IF(OR(M50="d",M50="e",N50="d",N50="e"),VLOOKUP("c",'Características dos Cabos'!$D$25:$L$29,9),IF(OR(M50="f",M50="g",M50="h",N50="f",N50="g",N50="h"),VLOOKUP("d",'Características dos Cabos'!$D$25:$L$29,9),IF(OR(M50="i",M50="j",M50="l",M50="m",N50="i",N50="j",N50="l",N50="m"),VLOOKUP("e",'Características dos Cabos'!$D$25:$L$29,9),"")))))</f>
        <v/>
      </c>
      <c r="T50" s="309" t="str">
        <f t="shared" si="7"/>
        <v/>
      </c>
      <c r="U50" s="310" t="str">
        <f>IF(OR(M50="a",N50="a"),VLOOKUP("a",'Características dos Cabos'!$D$25:$L$29,3),IF(OR(M50="b",M50="c",N50="b",N50="c"),VLOOKUP("b",'Características dos Cabos'!$D$25:$L$29,3),IF(OR(M50="d",M50="e",N50="d",N50="e"),VLOOKUP("c",'Características dos Cabos'!$D$25:$L$29,3),IF(OR(M50="f",M50="g",M50="h",N50="f",N50="g",N50="h"),VLOOKUP("d",'Características dos Cabos'!$D$25:$L$29,3),IF(OR(M50="i",M50="j",M50="l",M50="m",N50="i",N50="j",N50="l",N50="m"),VLOOKUP("e",'Características dos Cabos'!$D$25:$L$29,3),"")))))</f>
        <v/>
      </c>
      <c r="V50" s="311" t="str">
        <f t="shared" si="12"/>
        <v/>
      </c>
      <c r="W50" s="284"/>
      <c r="X50" s="298">
        <f t="shared" si="8"/>
        <v>0</v>
      </c>
      <c r="Y50" s="298">
        <f t="shared" si="9"/>
        <v>0</v>
      </c>
      <c r="Z50" s="284"/>
    </row>
    <row r="51" spans="1:26" ht="15" customHeight="1" x14ac:dyDescent="0.25">
      <c r="A51" s="508"/>
      <c r="B51" s="511"/>
      <c r="C51" s="37"/>
      <c r="D51" s="33"/>
      <c r="E51" s="48"/>
      <c r="F51" s="102" t="str">
        <f t="shared" si="5"/>
        <v/>
      </c>
      <c r="G51" s="48"/>
      <c r="H51" s="306" t="str">
        <f>IF(AND(E51="",G51=""),"",SUM(F51:G54))</f>
        <v/>
      </c>
      <c r="J51" s="33"/>
      <c r="K51" s="33"/>
      <c r="L51" s="307" t="str">
        <f>IF(OR(J51="",K51=""),"",IF(J51="3",VLOOKUP(M51,'K% (Rede Convencional)'!$B$18:$M$29,8),(IF(J51="2",VLOOKUP(N51,'K% (Rede Convencional)'!$B$18:$M$29,9),(IF(J51="1",VLOOKUP(N51,'K% (Rede Convencional)'!$B$18:$M$29,10),(IF(J51="13",VLOOKUP(N51,'K% (Rede Convencional)'!$B$18:$M$29,11),(IF(J51="12",VLOOKUP(N51,'K% (Rede Convencional)'!$B$18:$M$29,12),0))))))))))</f>
        <v/>
      </c>
      <c r="M51" s="308" t="str">
        <f t="shared" si="6"/>
        <v/>
      </c>
      <c r="N51" s="308" t="str">
        <f>IF(K51="","",IF(K51="4 (4)","a",IF(OR(K51="2 (4)",K51="2 (2)"),VLOOKUP(K51,BT!$AE$21:$AF$22,2,FALSE),IF(OR(K51="1/0 (4)",K51="1/0 (2)"),VLOOKUP(K51,BT!$AE$24:$AF$25,2,FALSE),IF(OR(K51="4/0 (4)",K51="4/0 (2)",K51="4/0 (1/0)"),VLOOKUP(K51,BT!$AE$27:$AF$29,2,FALSE),IF(OR(K51="336,4 (4)",K51="336,4 (2)",K51="336,4 (1/0)",K51="336,4 (4/0)"),VLOOKUP(K51,BT!$AE$31:$AF$34,2,FALSE),0))))))</f>
        <v/>
      </c>
      <c r="O51" s="48"/>
      <c r="P51" s="309" t="str">
        <f t="shared" si="10"/>
        <v/>
      </c>
      <c r="Q51" s="309" t="str">
        <f>IF(P51="","",SUM($P$45:P51)+$W$45)</f>
        <v/>
      </c>
      <c r="R51" s="309" t="str">
        <f t="shared" si="11"/>
        <v/>
      </c>
      <c r="S51" s="310" t="str">
        <f>IF(OR(M51="a",N51="a"),VLOOKUP("a",'Características dos Cabos'!$D$25:$L$29,9),IF(OR(M51="b",M51="c",N51="b",N51="c"),VLOOKUP("b",'Características dos Cabos'!$D$25:$L$29,9),IF(OR(M51="d",M51="e",N51="d",N51="e"),VLOOKUP("c",'Características dos Cabos'!$D$25:$L$29,9),IF(OR(M51="f",M51="g",M51="h",N51="f",N51="g",N51="h"),VLOOKUP("d",'Características dos Cabos'!$D$25:$L$29,9),IF(OR(M51="i",M51="j",M51="l",M51="m",N51="i",N51="j",N51="l",N51="m"),VLOOKUP("e",'Características dos Cabos'!$D$25:$L$29,9),"")))))</f>
        <v/>
      </c>
      <c r="T51" s="309" t="str">
        <f t="shared" si="7"/>
        <v/>
      </c>
      <c r="U51" s="310" t="str">
        <f>IF(OR(M51="a",N51="a"),VLOOKUP("a",'Características dos Cabos'!$D$25:$L$29,3),IF(OR(M51="b",M51="c",N51="b",N51="c"),VLOOKUP("b",'Características dos Cabos'!$D$25:$L$29,3),IF(OR(M51="d",M51="e",N51="d",N51="e"),VLOOKUP("c",'Características dos Cabos'!$D$25:$L$29,3),IF(OR(M51="f",M51="g",M51="h",N51="f",N51="g",N51="h"),VLOOKUP("d",'Características dos Cabos'!$D$25:$L$29,3),IF(OR(M51="i",M51="j",M51="l",M51="m",N51="i",N51="j",N51="l",N51="m"),VLOOKUP("e",'Características dos Cabos'!$D$25:$L$29,3),"")))))</f>
        <v/>
      </c>
      <c r="V51" s="311" t="str">
        <f t="shared" si="12"/>
        <v/>
      </c>
      <c r="W51" s="284"/>
      <c r="X51" s="298">
        <f t="shared" si="8"/>
        <v>0</v>
      </c>
      <c r="Y51" s="298">
        <f t="shared" si="9"/>
        <v>0</v>
      </c>
      <c r="Z51" s="284"/>
    </row>
    <row r="52" spans="1:26" ht="15" customHeight="1" x14ac:dyDescent="0.25">
      <c r="A52" s="508"/>
      <c r="B52" s="511"/>
      <c r="C52" s="37"/>
      <c r="D52" s="33"/>
      <c r="E52" s="48"/>
      <c r="F52" s="102" t="str">
        <f t="shared" si="5"/>
        <v/>
      </c>
      <c r="G52" s="48"/>
      <c r="H52" s="306" t="str">
        <f>IF(AND(E52="",G52=""),"",SUM(F52:G54))</f>
        <v/>
      </c>
      <c r="J52" s="33"/>
      <c r="K52" s="33"/>
      <c r="L52" s="307" t="str">
        <f>IF(OR(J52="",K52=""),"",IF(J52="3",VLOOKUP(M52,'K% (Rede Convencional)'!$B$18:$M$29,8),(IF(J52="2",VLOOKUP(N52,'K% (Rede Convencional)'!$B$18:$M$29,9),(IF(J52="1",VLOOKUP(N52,'K% (Rede Convencional)'!$B$18:$M$29,10),(IF(J52="13",VLOOKUP(N52,'K% (Rede Convencional)'!$B$18:$M$29,11),(IF(J52="12",VLOOKUP(N52,'K% (Rede Convencional)'!$B$18:$M$29,12),0))))))))))</f>
        <v/>
      </c>
      <c r="M52" s="308" t="str">
        <f t="shared" si="6"/>
        <v/>
      </c>
      <c r="N52" s="308" t="str">
        <f>IF(K52="","",IF(K52="4 (4)","a",IF(OR(K52="2 (4)",K52="2 (2)"),VLOOKUP(K52,BT!$AE$21:$AF$22,2,FALSE),IF(OR(K52="1/0 (4)",K52="1/0 (2)"),VLOOKUP(K52,BT!$AE$24:$AF$25,2,FALSE),IF(OR(K52="4/0 (4)",K52="4/0 (2)",K52="4/0 (1/0)"),VLOOKUP(K52,BT!$AE$27:$AF$29,2,FALSE),IF(OR(K52="336,4 (4)",K52="336,4 (2)",K52="336,4 (1/0)",K52="336,4 (4/0)"),VLOOKUP(K52,BT!$AE$31:$AF$34,2,FALSE),0))))))</f>
        <v/>
      </c>
      <c r="O52" s="48"/>
      <c r="P52" s="309" t="str">
        <f t="shared" si="10"/>
        <v/>
      </c>
      <c r="Q52" s="309" t="str">
        <f>IF(P52="","",SUM($P$45:P52)+$W$45)</f>
        <v/>
      </c>
      <c r="R52" s="309" t="str">
        <f t="shared" si="11"/>
        <v/>
      </c>
      <c r="S52" s="310" t="str">
        <f>IF(OR(M52="a",N52="a"),VLOOKUP("a",'Características dos Cabos'!$D$25:$L$29,9),IF(OR(M52="b",M52="c",N52="b",N52="c"),VLOOKUP("b",'Características dos Cabos'!$D$25:$L$29,9),IF(OR(M52="d",M52="e",N52="d",N52="e"),VLOOKUP("c",'Características dos Cabos'!$D$25:$L$29,9),IF(OR(M52="f",M52="g",M52="h",N52="f",N52="g",N52="h"),VLOOKUP("d",'Características dos Cabos'!$D$25:$L$29,9),IF(OR(M52="i",M52="j",M52="l",M52="m",N52="i",N52="j",N52="l",N52="m"),VLOOKUP("e",'Características dos Cabos'!$D$25:$L$29,9),"")))))</f>
        <v/>
      </c>
      <c r="T52" s="309" t="str">
        <f t="shared" si="7"/>
        <v/>
      </c>
      <c r="U52" s="310" t="str">
        <f>IF(OR(M52="a",N52="a"),VLOOKUP("a",'Características dos Cabos'!$D$25:$L$29,3),IF(OR(M52="b",M52="c",N52="b",N52="c"),VLOOKUP("b",'Características dos Cabos'!$D$25:$L$29,3),IF(OR(M52="d",M52="e",N52="d",N52="e"),VLOOKUP("c",'Características dos Cabos'!$D$25:$L$29,3),IF(OR(M52="f",M52="g",M52="h",N52="f",N52="g",N52="h"),VLOOKUP("d",'Características dos Cabos'!$D$25:$L$29,3),IF(OR(M52="i",M52="j",M52="l",M52="m",N52="i",N52="j",N52="l",N52="m"),VLOOKUP("e",'Características dos Cabos'!$D$25:$L$29,3),"")))))</f>
        <v/>
      </c>
      <c r="V52" s="311" t="str">
        <f t="shared" si="12"/>
        <v/>
      </c>
      <c r="W52" s="284"/>
      <c r="X52" s="298">
        <f t="shared" si="8"/>
        <v>0</v>
      </c>
      <c r="Y52" s="298">
        <f t="shared" si="9"/>
        <v>0</v>
      </c>
      <c r="Z52" s="284"/>
    </row>
    <row r="53" spans="1:26" ht="15" customHeight="1" x14ac:dyDescent="0.25">
      <c r="A53" s="508"/>
      <c r="B53" s="511"/>
      <c r="C53" s="37"/>
      <c r="D53" s="33"/>
      <c r="E53" s="48"/>
      <c r="F53" s="102" t="str">
        <f t="shared" si="5"/>
        <v/>
      </c>
      <c r="G53" s="48"/>
      <c r="H53" s="306" t="str">
        <f>IF(AND(E53="",G53=""),"",SUM(F53:G54))</f>
        <v/>
      </c>
      <c r="J53" s="33"/>
      <c r="K53" s="33"/>
      <c r="L53" s="307" t="str">
        <f>IF(OR(J53="",K53=""),"",IF(J53="3",VLOOKUP(M53,'K% (Rede Convencional)'!$B$18:$M$29,8),(IF(J53="2",VLOOKUP(N53,'K% (Rede Convencional)'!$B$18:$M$29,9),(IF(J53="1",VLOOKUP(N53,'K% (Rede Convencional)'!$B$18:$M$29,10),(IF(J53="13",VLOOKUP(N53,'K% (Rede Convencional)'!$B$18:$M$29,11),(IF(J53="12",VLOOKUP(N53,'K% (Rede Convencional)'!$B$18:$M$29,12),0))))))))))</f>
        <v/>
      </c>
      <c r="M53" s="308" t="str">
        <f t="shared" si="6"/>
        <v/>
      </c>
      <c r="N53" s="308" t="str">
        <f>IF(K53="","",IF(K53="4 (4)","a",IF(OR(K53="2 (4)",K53="2 (2)"),VLOOKUP(K53,BT!$AE$21:$AF$22,2,FALSE),IF(OR(K53="1/0 (4)",K53="1/0 (2)"),VLOOKUP(K53,BT!$AE$24:$AF$25,2,FALSE),IF(OR(K53="4/0 (4)",K53="4/0 (2)",K53="4/0 (1/0)"),VLOOKUP(K53,BT!$AE$27:$AF$29,2,FALSE),IF(OR(K53="336,4 (4)",K53="336,4 (2)",K53="336,4 (1/0)",K53="336,4 (4/0)"),VLOOKUP(K53,BT!$AE$31:$AF$34,2,FALSE),0))))))</f>
        <v/>
      </c>
      <c r="O53" s="48"/>
      <c r="P53" s="309" t="str">
        <f t="shared" si="10"/>
        <v/>
      </c>
      <c r="Q53" s="309" t="str">
        <f>IF(P53="","",SUM($P$45:P53)+$W$45)</f>
        <v/>
      </c>
      <c r="R53" s="309" t="str">
        <f t="shared" si="11"/>
        <v/>
      </c>
      <c r="S53" s="310" t="str">
        <f>IF(OR(M53="a",N53="a"),VLOOKUP("a",'Características dos Cabos'!$D$25:$L$29,9),IF(OR(M53="b",M53="c",N53="b",N53="c"),VLOOKUP("b",'Características dos Cabos'!$D$25:$L$29,9),IF(OR(M53="d",M53="e",N53="d",N53="e"),VLOOKUP("c",'Características dos Cabos'!$D$25:$L$29,9),IF(OR(M53="f",M53="g",M53="h",N53="f",N53="g",N53="h"),VLOOKUP("d",'Características dos Cabos'!$D$25:$L$29,9),IF(OR(M53="i",M53="j",M53="l",M53="m",N53="i",N53="j",N53="l",N53="m"),VLOOKUP("e",'Características dos Cabos'!$D$25:$L$29,9),"")))))</f>
        <v/>
      </c>
      <c r="T53" s="309" t="str">
        <f t="shared" si="7"/>
        <v/>
      </c>
      <c r="U53" s="310" t="str">
        <f>IF(OR(M53="a",N53="a"),VLOOKUP("a",'Características dos Cabos'!$D$25:$L$29,3),IF(OR(M53="b",M53="c",N53="b",N53="c"),VLOOKUP("b",'Características dos Cabos'!$D$25:$L$29,3),IF(OR(M53="d",M53="e",N53="d",N53="e"),VLOOKUP("c",'Características dos Cabos'!$D$25:$L$29,3),IF(OR(M53="f",M53="g",M53="h",N53="f",N53="g",N53="h"),VLOOKUP("d",'Características dos Cabos'!$D$25:$L$29,3),IF(OR(M53="i",M53="j",M53="l",M53="m",N53="i",N53="j",N53="l",N53="m"),VLOOKUP("e",'Características dos Cabos'!$D$25:$L$29,3),"")))))</f>
        <v/>
      </c>
      <c r="V53" s="311" t="str">
        <f t="shared" si="12"/>
        <v/>
      </c>
      <c r="W53" s="284"/>
      <c r="X53" s="298">
        <f t="shared" si="8"/>
        <v>0</v>
      </c>
      <c r="Y53" s="298">
        <f t="shared" si="9"/>
        <v>0</v>
      </c>
      <c r="Z53" s="284"/>
    </row>
    <row r="54" spans="1:26" ht="15" customHeight="1" thickBot="1" x14ac:dyDescent="0.3">
      <c r="A54" s="508"/>
      <c r="B54" s="512"/>
      <c r="C54" s="55"/>
      <c r="D54" s="56"/>
      <c r="E54" s="57"/>
      <c r="F54" s="64" t="str">
        <f t="shared" si="5"/>
        <v/>
      </c>
      <c r="G54" s="57"/>
      <c r="H54" s="313" t="str">
        <f>IF(AND(E54="",G54=""),"",SUM(F54:G54))</f>
        <v/>
      </c>
      <c r="J54" s="56"/>
      <c r="K54" s="56"/>
      <c r="L54" s="314" t="str">
        <f>IF(OR(J54="",K54=""),"",IF(J54="3",VLOOKUP(M54,'K% (Rede Convencional)'!$B$18:$M$29,8),(IF(J54="2",VLOOKUP(N54,'K% (Rede Convencional)'!$B$18:$M$29,9),(IF(J54="1",VLOOKUP(N54,'K% (Rede Convencional)'!$B$18:$M$29,10),(IF(J54="13",VLOOKUP(N54,'K% (Rede Convencional)'!$B$18:$M$29,11),(IF(J54="12",VLOOKUP(N54,'K% (Rede Convencional)'!$B$18:$M$29,12),0))))))))))</f>
        <v/>
      </c>
      <c r="M54" s="315" t="str">
        <f t="shared" si="6"/>
        <v/>
      </c>
      <c r="N54" s="315" t="str">
        <f>IF(K54="","",IF(K54="4 (4)","a",IF(OR(K54="2 (4)",K54="2 (2)"),VLOOKUP(K54,BT!$AE$21:$AF$22,2,FALSE),IF(OR(K54="1/0 (4)",K54="1/0 (2)"),VLOOKUP(K54,BT!$AE$24:$AF$25,2,FALSE),IF(OR(K54="4/0 (4)",K54="4/0 (2)",K54="4/0 (1/0)"),VLOOKUP(K54,BT!$AE$27:$AF$29,2,FALSE),IF(OR(K54="336,4 (4)",K54="336,4 (2)",K54="336,4 (1/0)",K54="336,4 (4/0)"),VLOOKUP(K54,BT!$AE$31:$AF$34,2,FALSE),0))))))</f>
        <v/>
      </c>
      <c r="O54" s="57"/>
      <c r="P54" s="316" t="str">
        <f t="shared" si="10"/>
        <v/>
      </c>
      <c r="Q54" s="316" t="str">
        <f>IF(P54="","",SUM($P$45:P54)+$W$45)</f>
        <v/>
      </c>
      <c r="R54" s="316" t="str">
        <f t="shared" si="11"/>
        <v/>
      </c>
      <c r="S54" s="317" t="str">
        <f>IF(OR(M54="a",N54="a"),VLOOKUP("a",'Características dos Cabos'!$D$25:$L$29,9),IF(OR(M54="b",M54="c",N54="b",N54="c"),VLOOKUP("b",'Características dos Cabos'!$D$25:$L$29,9),IF(OR(M54="d",M54="e",N54="d",N54="e"),VLOOKUP("c",'Características dos Cabos'!$D$25:$L$29,9),IF(OR(M54="f",M54="g",M54="h",N54="f",N54="g",N54="h"),VLOOKUP("d",'Características dos Cabos'!$D$25:$L$29,9),IF(OR(M54="i",M54="j",M54="l",M54="m",N54="i",N54="j",N54="l",N54="m"),VLOOKUP("e",'Características dos Cabos'!$D$25:$L$29,9),"")))))</f>
        <v/>
      </c>
      <c r="T54" s="316" t="str">
        <f t="shared" si="7"/>
        <v/>
      </c>
      <c r="U54" s="317" t="str">
        <f>IF(OR(M54="a",N54="a"),VLOOKUP("a",'Características dos Cabos'!$D$25:$L$29,3),IF(OR(M54="b",M54="c",N54="b",N54="c"),VLOOKUP("b",'Características dos Cabos'!$D$25:$L$29,3),IF(OR(M54="d",M54="e",N54="d",N54="e"),VLOOKUP("c",'Características dos Cabos'!$D$25:$L$29,3),IF(OR(M54="f",M54="g",M54="h",N54="f",N54="g",N54="h"),VLOOKUP("d",'Características dos Cabos'!$D$25:$L$29,3),IF(OR(M54="i",M54="j",M54="l",M54="m",N54="i",N54="j",N54="l",N54="m"),VLOOKUP("e",'Características dos Cabos'!$D$25:$L$29,3),"")))))</f>
        <v/>
      </c>
      <c r="V54" s="318" t="str">
        <f t="shared" si="12"/>
        <v/>
      </c>
      <c r="W54" s="284"/>
      <c r="X54" s="298">
        <f t="shared" si="8"/>
        <v>0</v>
      </c>
      <c r="Y54" s="298">
        <f t="shared" si="9"/>
        <v>0</v>
      </c>
      <c r="Z54" s="284"/>
    </row>
    <row r="55" spans="1:26" ht="15" customHeight="1" thickTop="1" x14ac:dyDescent="0.25">
      <c r="A55" s="508"/>
      <c r="B55" s="510" t="str">
        <f>CONCATENATE("Ramal 2 - Derivando no ponto ",C55)</f>
        <v xml:space="preserve">Ramal 2 - Derivando no ponto </v>
      </c>
      <c r="C55" s="36"/>
      <c r="D55" s="35"/>
      <c r="E55" s="47"/>
      <c r="F55" s="102" t="str">
        <f t="shared" si="5"/>
        <v/>
      </c>
      <c r="G55" s="47"/>
      <c r="H55" s="320" t="str">
        <f>IF(AND(E55="",G55=""),"",SUM(F55:G64))</f>
        <v/>
      </c>
      <c r="J55" s="35"/>
      <c r="K55" s="35"/>
      <c r="L55" s="321" t="str">
        <f>IF(OR(J55="",K55=""),"",IF(J55="3",VLOOKUP(M55,'K% (Rede Convencional)'!$B$18:$M$29,8),(IF(J55="2",VLOOKUP(N55,'K% (Rede Convencional)'!$B$18:$M$29,9),(IF(J55="1",VLOOKUP(N55,'K% (Rede Convencional)'!$B$18:$M$29,10),(IF(J55="13",VLOOKUP(N55,'K% (Rede Convencional)'!$B$18:$M$29,11),(IF(J55="12",VLOOKUP(N55,'K% (Rede Convencional)'!$B$18:$M$29,12),0))))))))))</f>
        <v/>
      </c>
      <c r="M55" s="294" t="str">
        <f t="shared" si="6"/>
        <v/>
      </c>
      <c r="N55" s="294" t="str">
        <f>IF(K55="","",IF(K55="4 (4)","a",IF(OR(K55="2 (4)",K55="2 (2)"),VLOOKUP(K55,BT!$AE$21:$AF$22,2,FALSE),IF(OR(K55="1/0 (4)",K55="1/0 (2)"),VLOOKUP(K55,BT!$AE$24:$AF$25,2,FALSE),IF(OR(K55="4/0 (4)",K55="4/0 (2)",K55="4/0 (1/0)"),VLOOKUP(K55,BT!$AE$27:$AF$29,2,FALSE),IF(OR(K55="336,4 (4)",K55="336,4 (2)",K55="336,4 (1/0)",K55="336,4 (4/0)"),VLOOKUP(K55,BT!$AE$31:$AF$34,2,FALSE),0))))))</f>
        <v/>
      </c>
      <c r="O55" s="47"/>
      <c r="P55" s="322" t="str">
        <f t="shared" si="10"/>
        <v/>
      </c>
      <c r="Q55" s="322" t="str">
        <f>IF(P55="","",P55+VLOOKUP(C55,$D$21:$Q$43,13,FALSE))</f>
        <v/>
      </c>
      <c r="R55" s="322" t="str">
        <f t="shared" si="11"/>
        <v/>
      </c>
      <c r="S55" s="323" t="str">
        <f>IF(OR(M55="a",N55="a"),VLOOKUP("a",'Características dos Cabos'!$D$25:$L$29,9),IF(OR(M55="b",M55="c",N55="b",N55="c"),VLOOKUP("b",'Características dos Cabos'!$D$25:$L$29,9),IF(OR(M55="d",M55="e",N55="d",N55="e"),VLOOKUP("c",'Características dos Cabos'!$D$25:$L$29,9),IF(OR(M55="f",M55="g",M55="h",N55="f",N55="g",N55="h"),VLOOKUP("d",'Características dos Cabos'!$D$25:$L$29,9),IF(OR(M55="i",M55="j",M55="l",M55="m",N55="i",N55="j",N55="l",N55="m"),VLOOKUP("e",'Características dos Cabos'!$D$25:$L$29,9),"")))))</f>
        <v/>
      </c>
      <c r="T55" s="322" t="str">
        <f t="shared" si="7"/>
        <v/>
      </c>
      <c r="U55" s="323" t="str">
        <f>IF(OR(M55="a",N55="a"),VLOOKUP("a",'Características dos Cabos'!$D$25:$L$29,3),IF(OR(M55="b",M55="c",N55="b",N55="c"),VLOOKUP("b",'Características dos Cabos'!$D$25:$L$29,3),IF(OR(M55="d",M55="e",N55="d",N55="e"),VLOOKUP("c",'Características dos Cabos'!$D$25:$L$29,3),IF(OR(M55="f",M55="g",M55="h",N55="f",N55="g",N55="h"),VLOOKUP("d",'Características dos Cabos'!$D$25:$L$29,3),IF(OR(M55="i",M55="j",M55="l",M55="m",N55="i",N55="j",N55="l",N55="m"),VLOOKUP("e",'Características dos Cabos'!$D$25:$L$29,3),"")))))</f>
        <v/>
      </c>
      <c r="V55" s="324" t="str">
        <f t="shared" si="12"/>
        <v/>
      </c>
      <c r="W55" s="343" t="e">
        <f>VLOOKUP(C55,$D$21:$Q$43,13,FALSE)</f>
        <v>#N/A</v>
      </c>
      <c r="X55" s="298">
        <f t="shared" si="8"/>
        <v>0</v>
      </c>
      <c r="Y55" s="298">
        <f t="shared" si="9"/>
        <v>0</v>
      </c>
      <c r="Z55" s="284"/>
    </row>
    <row r="56" spans="1:26" ht="15" customHeight="1" x14ac:dyDescent="0.25">
      <c r="A56" s="508"/>
      <c r="B56" s="511"/>
      <c r="C56" s="37"/>
      <c r="D56" s="33"/>
      <c r="E56" s="48"/>
      <c r="F56" s="102" t="str">
        <f t="shared" si="5"/>
        <v/>
      </c>
      <c r="G56" s="48"/>
      <c r="H56" s="306" t="str">
        <f>IF(AND(E56="",G56=""),"",SUM(F56:G64))</f>
        <v/>
      </c>
      <c r="J56" s="33"/>
      <c r="K56" s="33"/>
      <c r="L56" s="307" t="str">
        <f>IF(OR(J56="",K56=""),"",IF(J56="3",VLOOKUP(M56,'K% (Rede Convencional)'!$B$18:$M$29,8),(IF(J56="2",VLOOKUP(N56,'K% (Rede Convencional)'!$B$18:$M$29,9),(IF(J56="1",VLOOKUP(N56,'K% (Rede Convencional)'!$B$18:$M$29,10),(IF(J56="13",VLOOKUP(N56,'K% (Rede Convencional)'!$B$18:$M$29,11),(IF(J56="12",VLOOKUP(N56,'K% (Rede Convencional)'!$B$18:$M$29,12),0))))))))))</f>
        <v/>
      </c>
      <c r="M56" s="308" t="str">
        <f t="shared" si="6"/>
        <v/>
      </c>
      <c r="N56" s="308" t="str">
        <f>IF(K56="","",IF(K56="4 (4)","a",IF(OR(K56="2 (4)",K56="2 (2)"),VLOOKUP(K56,BT!$AE$21:$AF$22,2,FALSE),IF(OR(K56="1/0 (4)",K56="1/0 (2)"),VLOOKUP(K56,BT!$AE$24:$AF$25,2,FALSE),IF(OR(K56="4/0 (4)",K56="4/0 (2)",K56="4/0 (1/0)"),VLOOKUP(K56,BT!$AE$27:$AF$29,2,FALSE),IF(OR(K56="336,4 (4)",K56="336,4 (2)",K56="336,4 (1/0)",K56="336,4 (4/0)"),VLOOKUP(K56,BT!$AE$31:$AF$34,2,FALSE),0))))))</f>
        <v/>
      </c>
      <c r="O56" s="48"/>
      <c r="P56" s="309" t="str">
        <f t="shared" si="10"/>
        <v/>
      </c>
      <c r="Q56" s="309" t="str">
        <f>IF(P56="","",SUM($P$45:P56)+$W$55)</f>
        <v/>
      </c>
      <c r="R56" s="309" t="str">
        <f t="shared" si="11"/>
        <v/>
      </c>
      <c r="S56" s="310" t="str">
        <f>IF(OR(M56="a",N56="a"),VLOOKUP("a",'Características dos Cabos'!$D$25:$L$29,9),IF(OR(M56="b",M56="c",N56="b",N56="c"),VLOOKUP("b",'Características dos Cabos'!$D$25:$L$29,9),IF(OR(M56="d",M56="e",N56="d",N56="e"),VLOOKUP("c",'Características dos Cabos'!$D$25:$L$29,9),IF(OR(M56="f",M56="g",M56="h",N56="f",N56="g",N56="h"),VLOOKUP("d",'Características dos Cabos'!$D$25:$L$29,9),IF(OR(M56="i",M56="j",M56="l",M56="m",N56="i",N56="j",N56="l",N56="m"),VLOOKUP("e",'Características dos Cabos'!$D$25:$L$29,9),"")))))</f>
        <v/>
      </c>
      <c r="T56" s="309" t="str">
        <f t="shared" si="7"/>
        <v/>
      </c>
      <c r="U56" s="310" t="str">
        <f>IF(OR(M56="a",N56="a"),VLOOKUP("a",'Características dos Cabos'!$D$25:$L$29,3),IF(OR(M56="b",M56="c",N56="b",N56="c"),VLOOKUP("b",'Características dos Cabos'!$D$25:$L$29,3),IF(OR(M56="d",M56="e",N56="d",N56="e"),VLOOKUP("c",'Características dos Cabos'!$D$25:$L$29,3),IF(OR(M56="f",M56="g",M56="h",N56="f",N56="g",N56="h"),VLOOKUP("d",'Características dos Cabos'!$D$25:$L$29,3),IF(OR(M56="i",M56="j",M56="l",M56="m",N56="i",N56="j",N56="l",N56="m"),VLOOKUP("e",'Características dos Cabos'!$D$25:$L$29,3),"")))))</f>
        <v/>
      </c>
      <c r="V56" s="311" t="str">
        <f t="shared" si="12"/>
        <v/>
      </c>
      <c r="W56" s="284"/>
      <c r="X56" s="298">
        <f t="shared" si="8"/>
        <v>0</v>
      </c>
      <c r="Y56" s="298">
        <f t="shared" si="9"/>
        <v>0</v>
      </c>
      <c r="Z56" s="284"/>
    </row>
    <row r="57" spans="1:26" ht="15" customHeight="1" x14ac:dyDescent="0.25">
      <c r="A57" s="508"/>
      <c r="B57" s="511"/>
      <c r="C57" s="37"/>
      <c r="D57" s="33"/>
      <c r="E57" s="48"/>
      <c r="F57" s="102" t="str">
        <f t="shared" si="5"/>
        <v/>
      </c>
      <c r="G57" s="48"/>
      <c r="H57" s="306" t="str">
        <f>IF(AND(E57="",G57=""),"",SUM(F57:G64))</f>
        <v/>
      </c>
      <c r="J57" s="33"/>
      <c r="K57" s="33"/>
      <c r="L57" s="307" t="str">
        <f>IF(OR(J57="",K57=""),"",IF(J57="3",VLOOKUP(M57,'K% (Rede Convencional)'!$B$18:$M$29,8),(IF(J57="2",VLOOKUP(N57,'K% (Rede Convencional)'!$B$18:$M$29,9),(IF(J57="1",VLOOKUP(N57,'K% (Rede Convencional)'!$B$18:$M$29,10),(IF(J57="13",VLOOKUP(N57,'K% (Rede Convencional)'!$B$18:$M$29,11),(IF(J57="12",VLOOKUP(N57,'K% (Rede Convencional)'!$B$18:$M$29,12),0))))))))))</f>
        <v/>
      </c>
      <c r="M57" s="308" t="str">
        <f t="shared" si="6"/>
        <v/>
      </c>
      <c r="N57" s="308" t="str">
        <f>IF(K57="","",IF(K57="4 (4)","a",IF(OR(K57="2 (4)",K57="2 (2)"),VLOOKUP(K57,BT!$AE$21:$AF$22,2,FALSE),IF(OR(K57="1/0 (4)",K57="1/0 (2)"),VLOOKUP(K57,BT!$AE$24:$AF$25,2,FALSE),IF(OR(K57="4/0 (4)",K57="4/0 (2)",K57="4/0 (1/0)"),VLOOKUP(K57,BT!$AE$27:$AF$29,2,FALSE),IF(OR(K57="336,4 (4)",K57="336,4 (2)",K57="336,4 (1/0)",K57="336,4 (4/0)"),VLOOKUP(K57,BT!$AE$31:$AF$34,2,FALSE),0))))))</f>
        <v/>
      </c>
      <c r="O57" s="48"/>
      <c r="P57" s="309" t="str">
        <f t="shared" si="10"/>
        <v/>
      </c>
      <c r="Q57" s="309" t="str">
        <f>IF(P57="","",SUM($P$45:P57)+$W$55)</f>
        <v/>
      </c>
      <c r="R57" s="309" t="str">
        <f t="shared" si="11"/>
        <v/>
      </c>
      <c r="S57" s="310" t="str">
        <f>IF(OR(M57="a",N57="a"),VLOOKUP("a",'Características dos Cabos'!$D$25:$L$29,9),IF(OR(M57="b",M57="c",N57="b",N57="c"),VLOOKUP("b",'Características dos Cabos'!$D$25:$L$29,9),IF(OR(M57="d",M57="e",N57="d",N57="e"),VLOOKUP("c",'Características dos Cabos'!$D$25:$L$29,9),IF(OR(M57="f",M57="g",M57="h",N57="f",N57="g",N57="h"),VLOOKUP("d",'Características dos Cabos'!$D$25:$L$29,9),IF(OR(M57="i",M57="j",M57="l",M57="m",N57="i",N57="j",N57="l",N57="m"),VLOOKUP("e",'Características dos Cabos'!$D$25:$L$29,9),"")))))</f>
        <v/>
      </c>
      <c r="T57" s="309" t="str">
        <f t="shared" si="7"/>
        <v/>
      </c>
      <c r="U57" s="310" t="str">
        <f>IF(OR(M57="a",N57="a"),VLOOKUP("a",'Características dos Cabos'!$D$25:$L$29,3),IF(OR(M57="b",M57="c",N57="b",N57="c"),VLOOKUP("b",'Características dos Cabos'!$D$25:$L$29,3),IF(OR(M57="d",M57="e",N57="d",N57="e"),VLOOKUP("c",'Características dos Cabos'!$D$25:$L$29,3),IF(OR(M57="f",M57="g",M57="h",N57="f",N57="g",N57="h"),VLOOKUP("d",'Características dos Cabos'!$D$25:$L$29,3),IF(OR(M57="i",M57="j",M57="l",M57="m",N57="i",N57="j",N57="l",N57="m"),VLOOKUP("e",'Características dos Cabos'!$D$25:$L$29,3),"")))))</f>
        <v/>
      </c>
      <c r="V57" s="311" t="str">
        <f t="shared" si="12"/>
        <v/>
      </c>
      <c r="W57" s="284"/>
      <c r="X57" s="298">
        <f t="shared" si="8"/>
        <v>0</v>
      </c>
      <c r="Y57" s="298">
        <f t="shared" si="9"/>
        <v>0</v>
      </c>
      <c r="Z57" s="284"/>
    </row>
    <row r="58" spans="1:26" ht="15" customHeight="1" x14ac:dyDescent="0.25">
      <c r="A58" s="508"/>
      <c r="B58" s="511"/>
      <c r="C58" s="37"/>
      <c r="D58" s="33"/>
      <c r="E58" s="48"/>
      <c r="F58" s="102" t="str">
        <f t="shared" si="5"/>
        <v/>
      </c>
      <c r="G58" s="48"/>
      <c r="H58" s="306" t="str">
        <f>IF(AND(E58="",G58=""),"",SUM(F58:G64))</f>
        <v/>
      </c>
      <c r="J58" s="33"/>
      <c r="K58" s="33"/>
      <c r="L58" s="307" t="str">
        <f>IF(OR(J58="",K58=""),"",IF(J58="3",VLOOKUP(M58,'K% (Rede Convencional)'!$B$18:$M$29,8),(IF(J58="2",VLOOKUP(N58,'K% (Rede Convencional)'!$B$18:$M$29,9),(IF(J58="1",VLOOKUP(N58,'K% (Rede Convencional)'!$B$18:$M$29,10),(IF(J58="13",VLOOKUP(N58,'K% (Rede Convencional)'!$B$18:$M$29,11),(IF(J58="12",VLOOKUP(N58,'K% (Rede Convencional)'!$B$18:$M$29,12),0))))))))))</f>
        <v/>
      </c>
      <c r="M58" s="308" t="str">
        <f t="shared" si="6"/>
        <v/>
      </c>
      <c r="N58" s="308" t="str">
        <f>IF(K58="","",IF(K58="4 (4)","a",IF(OR(K58="2 (4)",K58="2 (2)"),VLOOKUP(K58,BT!$AE$21:$AF$22,2,FALSE),IF(OR(K58="1/0 (4)",K58="1/0 (2)"),VLOOKUP(K58,BT!$AE$24:$AF$25,2,FALSE),IF(OR(K58="4/0 (4)",K58="4/0 (2)",K58="4/0 (1/0)"),VLOOKUP(K58,BT!$AE$27:$AF$29,2,FALSE),IF(OR(K58="336,4 (4)",K58="336,4 (2)",K58="336,4 (1/0)",K58="336,4 (4/0)"),VLOOKUP(K58,BT!$AE$31:$AF$34,2,FALSE),0))))))</f>
        <v/>
      </c>
      <c r="O58" s="48"/>
      <c r="P58" s="309" t="str">
        <f t="shared" si="10"/>
        <v/>
      </c>
      <c r="Q58" s="309" t="str">
        <f>IF(P58="","",SUM($P$45:P58)+$W$55)</f>
        <v/>
      </c>
      <c r="R58" s="309" t="str">
        <f t="shared" si="11"/>
        <v/>
      </c>
      <c r="S58" s="310" t="str">
        <f>IF(OR(M58="a",N58="a"),VLOOKUP("a",'Características dos Cabos'!$D$25:$L$29,9),IF(OR(M58="b",M58="c",N58="b",N58="c"),VLOOKUP("b",'Características dos Cabos'!$D$25:$L$29,9),IF(OR(M58="d",M58="e",N58="d",N58="e"),VLOOKUP("c",'Características dos Cabos'!$D$25:$L$29,9),IF(OR(M58="f",M58="g",M58="h",N58="f",N58="g",N58="h"),VLOOKUP("d",'Características dos Cabos'!$D$25:$L$29,9),IF(OR(M58="i",M58="j",M58="l",M58="m",N58="i",N58="j",N58="l",N58="m"),VLOOKUP("e",'Características dos Cabos'!$D$25:$L$29,9),"")))))</f>
        <v/>
      </c>
      <c r="T58" s="309" t="str">
        <f t="shared" si="7"/>
        <v/>
      </c>
      <c r="U58" s="310" t="str">
        <f>IF(OR(M58="a",N58="a"),VLOOKUP("a",'Características dos Cabos'!$D$25:$L$29,3),IF(OR(M58="b",M58="c",N58="b",N58="c"),VLOOKUP("b",'Características dos Cabos'!$D$25:$L$29,3),IF(OR(M58="d",M58="e",N58="d",N58="e"),VLOOKUP("c",'Características dos Cabos'!$D$25:$L$29,3),IF(OR(M58="f",M58="g",M58="h",N58="f",N58="g",N58="h"),VLOOKUP("d",'Características dos Cabos'!$D$25:$L$29,3),IF(OR(M58="i",M58="j",M58="l",M58="m",N58="i",N58="j",N58="l",N58="m"),VLOOKUP("e",'Características dos Cabos'!$D$25:$L$29,3),"")))))</f>
        <v/>
      </c>
      <c r="V58" s="311" t="str">
        <f t="shared" si="12"/>
        <v/>
      </c>
      <c r="W58" s="284"/>
      <c r="X58" s="298">
        <f t="shared" si="8"/>
        <v>0</v>
      </c>
      <c r="Y58" s="298">
        <f t="shared" si="9"/>
        <v>0</v>
      </c>
      <c r="Z58" s="284"/>
    </row>
    <row r="59" spans="1:26" ht="15" customHeight="1" x14ac:dyDescent="0.25">
      <c r="A59" s="508"/>
      <c r="B59" s="511"/>
      <c r="C59" s="37"/>
      <c r="D59" s="33"/>
      <c r="E59" s="48"/>
      <c r="F59" s="102" t="str">
        <f t="shared" si="5"/>
        <v/>
      </c>
      <c r="G59" s="48"/>
      <c r="H59" s="306" t="str">
        <f>IF(AND(E59="",G59=""),"",SUM(F59:G64))</f>
        <v/>
      </c>
      <c r="J59" s="33"/>
      <c r="K59" s="33"/>
      <c r="L59" s="307" t="str">
        <f>IF(OR(J59="",K59=""),"",IF(J59="3",VLOOKUP(M59,'K% (Rede Convencional)'!$B$18:$M$29,8),(IF(J59="2",VLOOKUP(N59,'K% (Rede Convencional)'!$B$18:$M$29,9),(IF(J59="1",VLOOKUP(N59,'K% (Rede Convencional)'!$B$18:$M$29,10),(IF(J59="13",VLOOKUP(N59,'K% (Rede Convencional)'!$B$18:$M$29,11),(IF(J59="12",VLOOKUP(N59,'K% (Rede Convencional)'!$B$18:$M$29,12),0))))))))))</f>
        <v/>
      </c>
      <c r="M59" s="308" t="str">
        <f t="shared" si="6"/>
        <v/>
      </c>
      <c r="N59" s="308" t="str">
        <f>IF(K59="","",IF(K59="4 (4)","a",IF(OR(K59="2 (4)",K59="2 (2)"),VLOOKUP(K59,BT!$AE$21:$AF$22,2,FALSE),IF(OR(K59="1/0 (4)",K59="1/0 (2)"),VLOOKUP(K59,BT!$AE$24:$AF$25,2,FALSE),IF(OR(K59="4/0 (4)",K59="4/0 (2)",K59="4/0 (1/0)"),VLOOKUP(K59,BT!$AE$27:$AF$29,2,FALSE),IF(OR(K59="336,4 (4)",K59="336,4 (2)",K59="336,4 (1/0)",K59="336,4 (4/0)"),VLOOKUP(K59,BT!$AE$31:$AF$34,2,FALSE),0))))))</f>
        <v/>
      </c>
      <c r="O59" s="48"/>
      <c r="P59" s="309" t="str">
        <f t="shared" si="10"/>
        <v/>
      </c>
      <c r="Q59" s="309" t="str">
        <f>IF(P59="","",SUM($P$45:P59)+$W$55)</f>
        <v/>
      </c>
      <c r="R59" s="309" t="str">
        <f t="shared" si="11"/>
        <v/>
      </c>
      <c r="S59" s="310" t="str">
        <f>IF(OR(M59="a",N59="a"),VLOOKUP("a",'Características dos Cabos'!$D$25:$L$29,9),IF(OR(M59="b",M59="c",N59="b",N59="c"),VLOOKUP("b",'Características dos Cabos'!$D$25:$L$29,9),IF(OR(M59="d",M59="e",N59="d",N59="e"),VLOOKUP("c",'Características dos Cabos'!$D$25:$L$29,9),IF(OR(M59="f",M59="g",M59="h",N59="f",N59="g",N59="h"),VLOOKUP("d",'Características dos Cabos'!$D$25:$L$29,9),IF(OR(M59="i",M59="j",M59="l",M59="m",N59="i",N59="j",N59="l",N59="m"),VLOOKUP("e",'Características dos Cabos'!$D$25:$L$29,9),"")))))</f>
        <v/>
      </c>
      <c r="T59" s="309" t="str">
        <f t="shared" si="7"/>
        <v/>
      </c>
      <c r="U59" s="310" t="str">
        <f>IF(OR(M59="a",N59="a"),VLOOKUP("a",'Características dos Cabos'!$D$25:$L$29,3),IF(OR(M59="b",M59="c",N59="b",N59="c"),VLOOKUP("b",'Características dos Cabos'!$D$25:$L$29,3),IF(OR(M59="d",M59="e",N59="d",N59="e"),VLOOKUP("c",'Características dos Cabos'!$D$25:$L$29,3),IF(OR(M59="f",M59="g",M59="h",N59="f",N59="g",N59="h"),VLOOKUP("d",'Características dos Cabos'!$D$25:$L$29,3),IF(OR(M59="i",M59="j",M59="l",M59="m",N59="i",N59="j",N59="l",N59="m"),VLOOKUP("e",'Características dos Cabos'!$D$25:$L$29,3),"")))))</f>
        <v/>
      </c>
      <c r="V59" s="311" t="str">
        <f t="shared" si="12"/>
        <v/>
      </c>
      <c r="W59" s="284"/>
      <c r="X59" s="298">
        <f t="shared" si="8"/>
        <v>0</v>
      </c>
      <c r="Y59" s="298">
        <f t="shared" si="9"/>
        <v>0</v>
      </c>
      <c r="Z59" s="284"/>
    </row>
    <row r="60" spans="1:26" ht="15" customHeight="1" x14ac:dyDescent="0.25">
      <c r="A60" s="508"/>
      <c r="B60" s="511"/>
      <c r="C60" s="37"/>
      <c r="D60" s="33"/>
      <c r="E60" s="48"/>
      <c r="F60" s="102" t="str">
        <f t="shared" si="5"/>
        <v/>
      </c>
      <c r="G60" s="48"/>
      <c r="H60" s="306" t="str">
        <f>IF(AND(E60="",G60=""),"",SUM(F60:G64))</f>
        <v/>
      </c>
      <c r="J60" s="33"/>
      <c r="K60" s="33"/>
      <c r="L60" s="307" t="str">
        <f>IF(OR(J60="",K60=""),"",IF(J60="3",VLOOKUP(M60,'K% (Rede Convencional)'!$B$18:$M$29,8),(IF(J60="2",VLOOKUP(N60,'K% (Rede Convencional)'!$B$18:$M$29,9),(IF(J60="1",VLOOKUP(N60,'K% (Rede Convencional)'!$B$18:$M$29,10),(IF(J60="13",VLOOKUP(N60,'K% (Rede Convencional)'!$B$18:$M$29,11),(IF(J60="12",VLOOKUP(N60,'K% (Rede Convencional)'!$B$18:$M$29,12),0))))))))))</f>
        <v/>
      </c>
      <c r="M60" s="308" t="str">
        <f t="shared" si="6"/>
        <v/>
      </c>
      <c r="N60" s="308" t="str">
        <f>IF(K60="","",IF(K60="4 (4)","a",IF(OR(K60="2 (4)",K60="2 (2)"),VLOOKUP(K60,BT!$AE$21:$AF$22,2,FALSE),IF(OR(K60="1/0 (4)",K60="1/0 (2)"),VLOOKUP(K60,BT!$AE$24:$AF$25,2,FALSE),IF(OR(K60="4/0 (4)",K60="4/0 (2)",K60="4/0 (1/0)"),VLOOKUP(K60,BT!$AE$27:$AF$29,2,FALSE),IF(OR(K60="336,4 (4)",K60="336,4 (2)",K60="336,4 (1/0)",K60="336,4 (4/0)"),VLOOKUP(K60,BT!$AE$31:$AF$34,2,FALSE),0))))))</f>
        <v/>
      </c>
      <c r="O60" s="48"/>
      <c r="P60" s="309" t="str">
        <f t="shared" si="10"/>
        <v/>
      </c>
      <c r="Q60" s="309" t="str">
        <f>IF(P60="","",SUM($P$45:P60)+$W$55)</f>
        <v/>
      </c>
      <c r="R60" s="309" t="str">
        <f t="shared" si="11"/>
        <v/>
      </c>
      <c r="S60" s="310" t="str">
        <f>IF(OR(M60="a",N60="a"),VLOOKUP("a",'Características dos Cabos'!$D$25:$L$29,9),IF(OR(M60="b",M60="c",N60="b",N60="c"),VLOOKUP("b",'Características dos Cabos'!$D$25:$L$29,9),IF(OR(M60="d",M60="e",N60="d",N60="e"),VLOOKUP("c",'Características dos Cabos'!$D$25:$L$29,9),IF(OR(M60="f",M60="g",M60="h",N60="f",N60="g",N60="h"),VLOOKUP("d",'Características dos Cabos'!$D$25:$L$29,9),IF(OR(M60="i",M60="j",M60="l",M60="m",N60="i",N60="j",N60="l",N60="m"),VLOOKUP("e",'Características dos Cabos'!$D$25:$L$29,9),"")))))</f>
        <v/>
      </c>
      <c r="T60" s="309" t="str">
        <f t="shared" si="7"/>
        <v/>
      </c>
      <c r="U60" s="310" t="str">
        <f>IF(OR(M60="a",N60="a"),VLOOKUP("a",'Características dos Cabos'!$D$25:$L$29,3),IF(OR(M60="b",M60="c",N60="b",N60="c"),VLOOKUP("b",'Características dos Cabos'!$D$25:$L$29,3),IF(OR(M60="d",M60="e",N60="d",N60="e"),VLOOKUP("c",'Características dos Cabos'!$D$25:$L$29,3),IF(OR(M60="f",M60="g",M60="h",N60="f",N60="g",N60="h"),VLOOKUP("d",'Características dos Cabos'!$D$25:$L$29,3),IF(OR(M60="i",M60="j",M60="l",M60="m",N60="i",N60="j",N60="l",N60="m"),VLOOKUP("e",'Características dos Cabos'!$D$25:$L$29,3),"")))))</f>
        <v/>
      </c>
      <c r="V60" s="311" t="str">
        <f t="shared" si="12"/>
        <v/>
      </c>
      <c r="W60" s="284"/>
      <c r="X60" s="298">
        <f t="shared" si="8"/>
        <v>0</v>
      </c>
      <c r="Y60" s="298">
        <f t="shared" si="9"/>
        <v>0</v>
      </c>
      <c r="Z60" s="284"/>
    </row>
    <row r="61" spans="1:26" ht="15" customHeight="1" x14ac:dyDescent="0.25">
      <c r="A61" s="508"/>
      <c r="B61" s="511"/>
      <c r="C61" s="37"/>
      <c r="D61" s="33"/>
      <c r="E61" s="48"/>
      <c r="F61" s="102" t="str">
        <f t="shared" si="5"/>
        <v/>
      </c>
      <c r="G61" s="48"/>
      <c r="H61" s="306" t="str">
        <f>IF(AND(E61="",G61=""),"",SUM(F61:G64))</f>
        <v/>
      </c>
      <c r="J61" s="33"/>
      <c r="K61" s="33"/>
      <c r="L61" s="307" t="str">
        <f>IF(OR(J61="",K61=""),"",IF(J61="3",VLOOKUP(M61,'K% (Rede Convencional)'!$B$18:$M$29,8),(IF(J61="2",VLOOKUP(N61,'K% (Rede Convencional)'!$B$18:$M$29,9),(IF(J61="1",VLOOKUP(N61,'K% (Rede Convencional)'!$B$18:$M$29,10),(IF(J61="13",VLOOKUP(N61,'K% (Rede Convencional)'!$B$18:$M$29,11),(IF(J61="12",VLOOKUP(N61,'K% (Rede Convencional)'!$B$18:$M$29,12),0))))))))))</f>
        <v/>
      </c>
      <c r="M61" s="308" t="str">
        <f t="shared" si="6"/>
        <v/>
      </c>
      <c r="N61" s="308" t="str">
        <f>IF(K61="","",IF(K61="4 (4)","a",IF(OR(K61="2 (4)",K61="2 (2)"),VLOOKUP(K61,BT!$AE$21:$AF$22,2,FALSE),IF(OR(K61="1/0 (4)",K61="1/0 (2)"),VLOOKUP(K61,BT!$AE$24:$AF$25,2,FALSE),IF(OR(K61="4/0 (4)",K61="4/0 (2)",K61="4/0 (1/0)"),VLOOKUP(K61,BT!$AE$27:$AF$29,2,FALSE),IF(OR(K61="336,4 (4)",K61="336,4 (2)",K61="336,4 (1/0)",K61="336,4 (4/0)"),VLOOKUP(K61,BT!$AE$31:$AF$34,2,FALSE),0))))))</f>
        <v/>
      </c>
      <c r="O61" s="48"/>
      <c r="P61" s="309" t="str">
        <f t="shared" si="10"/>
        <v/>
      </c>
      <c r="Q61" s="309" t="str">
        <f>IF(P61="","",SUM($P$45:P61)+$W$55)</f>
        <v/>
      </c>
      <c r="R61" s="309" t="str">
        <f t="shared" si="11"/>
        <v/>
      </c>
      <c r="S61" s="310" t="str">
        <f>IF(OR(M61="a",N61="a"),VLOOKUP("a",'Características dos Cabos'!$D$25:$L$29,9),IF(OR(M61="b",M61="c",N61="b",N61="c"),VLOOKUP("b",'Características dos Cabos'!$D$25:$L$29,9),IF(OR(M61="d",M61="e",N61="d",N61="e"),VLOOKUP("c",'Características dos Cabos'!$D$25:$L$29,9),IF(OR(M61="f",M61="g",M61="h",N61="f",N61="g",N61="h"),VLOOKUP("d",'Características dos Cabos'!$D$25:$L$29,9),IF(OR(M61="i",M61="j",M61="l",M61="m",N61="i",N61="j",N61="l",N61="m"),VLOOKUP("e",'Características dos Cabos'!$D$25:$L$29,9),"")))))</f>
        <v/>
      </c>
      <c r="T61" s="309" t="str">
        <f t="shared" si="7"/>
        <v/>
      </c>
      <c r="U61" s="310" t="str">
        <f>IF(OR(M61="a",N61="a"),VLOOKUP("a",'Características dos Cabos'!$D$25:$L$29,3),IF(OR(M61="b",M61="c",N61="b",N61="c"),VLOOKUP("b",'Características dos Cabos'!$D$25:$L$29,3),IF(OR(M61="d",M61="e",N61="d",N61="e"),VLOOKUP("c",'Características dos Cabos'!$D$25:$L$29,3),IF(OR(M61="f",M61="g",M61="h",N61="f",N61="g",N61="h"),VLOOKUP("d",'Características dos Cabos'!$D$25:$L$29,3),IF(OR(M61="i",M61="j",M61="l",M61="m",N61="i",N61="j",N61="l",N61="m"),VLOOKUP("e",'Características dos Cabos'!$D$25:$L$29,3),"")))))</f>
        <v/>
      </c>
      <c r="V61" s="311" t="str">
        <f t="shared" si="12"/>
        <v/>
      </c>
      <c r="W61" s="284"/>
      <c r="X61" s="298">
        <f t="shared" si="8"/>
        <v>0</v>
      </c>
      <c r="Y61" s="298">
        <f t="shared" si="9"/>
        <v>0</v>
      </c>
      <c r="Z61" s="284"/>
    </row>
    <row r="62" spans="1:26" ht="15" customHeight="1" x14ac:dyDescent="0.25">
      <c r="A62" s="508"/>
      <c r="B62" s="511"/>
      <c r="C62" s="37"/>
      <c r="D62" s="33"/>
      <c r="E62" s="48"/>
      <c r="F62" s="102" t="str">
        <f t="shared" si="5"/>
        <v/>
      </c>
      <c r="G62" s="48"/>
      <c r="H62" s="306" t="str">
        <f>IF(AND(E62="",G62=""),"",SUM(F62:G64))</f>
        <v/>
      </c>
      <c r="J62" s="33"/>
      <c r="K62" s="33"/>
      <c r="L62" s="307" t="str">
        <f>IF(OR(J62="",K62=""),"",IF(J62="3",VLOOKUP(M62,'K% (Rede Convencional)'!$B$18:$M$29,8),(IF(J62="2",VLOOKUP(N62,'K% (Rede Convencional)'!$B$18:$M$29,9),(IF(J62="1",VLOOKUP(N62,'K% (Rede Convencional)'!$B$18:$M$29,10),(IF(J62="13",VLOOKUP(N62,'K% (Rede Convencional)'!$B$18:$M$29,11),(IF(J62="12",VLOOKUP(N62,'K% (Rede Convencional)'!$B$18:$M$29,12),0))))))))))</f>
        <v/>
      </c>
      <c r="M62" s="308" t="str">
        <f t="shared" si="6"/>
        <v/>
      </c>
      <c r="N62" s="308" t="str">
        <f>IF(K62="","",IF(K62="4 (4)","a",IF(OR(K62="2 (4)",K62="2 (2)"),VLOOKUP(K62,BT!$AE$21:$AF$22,2,FALSE),IF(OR(K62="1/0 (4)",K62="1/0 (2)"),VLOOKUP(K62,BT!$AE$24:$AF$25,2,FALSE),IF(OR(K62="4/0 (4)",K62="4/0 (2)",K62="4/0 (1/0)"),VLOOKUP(K62,BT!$AE$27:$AF$29,2,FALSE),IF(OR(K62="336,4 (4)",K62="336,4 (2)",K62="336,4 (1/0)",K62="336,4 (4/0)"),VLOOKUP(K62,BT!$AE$31:$AF$34,2,FALSE),0))))))</f>
        <v/>
      </c>
      <c r="O62" s="48"/>
      <c r="P62" s="309" t="str">
        <f t="shared" si="10"/>
        <v/>
      </c>
      <c r="Q62" s="309" t="str">
        <f>IF(P62="","",SUM($P$45:P62)+$W$55)</f>
        <v/>
      </c>
      <c r="R62" s="309" t="str">
        <f t="shared" si="11"/>
        <v/>
      </c>
      <c r="S62" s="310" t="str">
        <f>IF(OR(M62="a",N62="a"),VLOOKUP("a",'Características dos Cabos'!$D$25:$L$29,9),IF(OR(M62="b",M62="c",N62="b",N62="c"),VLOOKUP("b",'Características dos Cabos'!$D$25:$L$29,9),IF(OR(M62="d",M62="e",N62="d",N62="e"),VLOOKUP("c",'Características dos Cabos'!$D$25:$L$29,9),IF(OR(M62="f",M62="g",M62="h",N62="f",N62="g",N62="h"),VLOOKUP("d",'Características dos Cabos'!$D$25:$L$29,9),IF(OR(M62="i",M62="j",M62="l",M62="m",N62="i",N62="j",N62="l",N62="m"),VLOOKUP("e",'Características dos Cabos'!$D$25:$L$29,9),"")))))</f>
        <v/>
      </c>
      <c r="T62" s="309" t="str">
        <f t="shared" si="7"/>
        <v/>
      </c>
      <c r="U62" s="310" t="str">
        <f>IF(OR(M62="a",N62="a"),VLOOKUP("a",'Características dos Cabos'!$D$25:$L$29,3),IF(OR(M62="b",M62="c",N62="b",N62="c"),VLOOKUP("b",'Características dos Cabos'!$D$25:$L$29,3),IF(OR(M62="d",M62="e",N62="d",N62="e"),VLOOKUP("c",'Características dos Cabos'!$D$25:$L$29,3),IF(OR(M62="f",M62="g",M62="h",N62="f",N62="g",N62="h"),VLOOKUP("d",'Características dos Cabos'!$D$25:$L$29,3),IF(OR(M62="i",M62="j",M62="l",M62="m",N62="i",N62="j",N62="l",N62="m"),VLOOKUP("e",'Características dos Cabos'!$D$25:$L$29,3),"")))))</f>
        <v/>
      </c>
      <c r="V62" s="311" t="str">
        <f t="shared" si="12"/>
        <v/>
      </c>
      <c r="W62" s="284"/>
      <c r="X62" s="298">
        <f t="shared" si="8"/>
        <v>0</v>
      </c>
      <c r="Y62" s="298">
        <f t="shared" si="9"/>
        <v>0</v>
      </c>
      <c r="Z62" s="284"/>
    </row>
    <row r="63" spans="1:26" ht="15" customHeight="1" x14ac:dyDescent="0.25">
      <c r="A63" s="508"/>
      <c r="B63" s="511"/>
      <c r="C63" s="37"/>
      <c r="D63" s="33"/>
      <c r="E63" s="48"/>
      <c r="F63" s="102" t="str">
        <f t="shared" si="5"/>
        <v/>
      </c>
      <c r="G63" s="48"/>
      <c r="H63" s="306" t="str">
        <f>IF(AND(E63="",G63=""),"",SUM(F63:G64))</f>
        <v/>
      </c>
      <c r="J63" s="33"/>
      <c r="K63" s="33"/>
      <c r="L63" s="307" t="str">
        <f>IF(OR(J63="",K63=""),"",IF(J63="3",VLOOKUP(M63,'K% (Rede Convencional)'!$B$18:$M$29,8),(IF(J63="2",VLOOKUP(N63,'K% (Rede Convencional)'!$B$18:$M$29,9),(IF(J63="1",VLOOKUP(N63,'K% (Rede Convencional)'!$B$18:$M$29,10),(IF(J63="13",VLOOKUP(N63,'K% (Rede Convencional)'!$B$18:$M$29,11),(IF(J63="12",VLOOKUP(N63,'K% (Rede Convencional)'!$B$18:$M$29,12),0))))))))))</f>
        <v/>
      </c>
      <c r="M63" s="308" t="str">
        <f t="shared" si="6"/>
        <v/>
      </c>
      <c r="N63" s="308" t="str">
        <f>IF(K63="","",IF(K63="4 (4)","a",IF(OR(K63="2 (4)",K63="2 (2)"),VLOOKUP(K63,BT!$AE$21:$AF$22,2,FALSE),IF(OR(K63="1/0 (4)",K63="1/0 (2)"),VLOOKUP(K63,BT!$AE$24:$AF$25,2,FALSE),IF(OR(K63="4/0 (4)",K63="4/0 (2)",K63="4/0 (1/0)"),VLOOKUP(K63,BT!$AE$27:$AF$29,2,FALSE),IF(OR(K63="336,4 (4)",K63="336,4 (2)",K63="336,4 (1/0)",K63="336,4 (4/0)"),VLOOKUP(K63,BT!$AE$31:$AF$34,2,FALSE),0))))))</f>
        <v/>
      </c>
      <c r="O63" s="48"/>
      <c r="P63" s="309" t="str">
        <f t="shared" si="10"/>
        <v/>
      </c>
      <c r="Q63" s="309" t="str">
        <f>IF(P63="","",SUM($P$45:P63)+$W$55)</f>
        <v/>
      </c>
      <c r="R63" s="309" t="str">
        <f t="shared" si="11"/>
        <v/>
      </c>
      <c r="S63" s="310" t="str">
        <f>IF(OR(M63="a",N63="a"),VLOOKUP("a",'Características dos Cabos'!$D$25:$L$29,9),IF(OR(M63="b",M63="c",N63="b",N63="c"),VLOOKUP("b",'Características dos Cabos'!$D$25:$L$29,9),IF(OR(M63="d",M63="e",N63="d",N63="e"),VLOOKUP("c",'Características dos Cabos'!$D$25:$L$29,9),IF(OR(M63="f",M63="g",M63="h",N63="f",N63="g",N63="h"),VLOOKUP("d",'Características dos Cabos'!$D$25:$L$29,9),IF(OR(M63="i",M63="j",M63="l",M63="m",N63="i",N63="j",N63="l",N63="m"),VLOOKUP("e",'Características dos Cabos'!$D$25:$L$29,9),"")))))</f>
        <v/>
      </c>
      <c r="T63" s="309" t="str">
        <f t="shared" si="7"/>
        <v/>
      </c>
      <c r="U63" s="310" t="str">
        <f>IF(OR(M63="a",N63="a"),VLOOKUP("a",'Características dos Cabos'!$D$25:$L$29,3),IF(OR(M63="b",M63="c",N63="b",N63="c"),VLOOKUP("b",'Características dos Cabos'!$D$25:$L$29,3),IF(OR(M63="d",M63="e",N63="d",N63="e"),VLOOKUP("c",'Características dos Cabos'!$D$25:$L$29,3),IF(OR(M63="f",M63="g",M63="h",N63="f",N63="g",N63="h"),VLOOKUP("d",'Características dos Cabos'!$D$25:$L$29,3),IF(OR(M63="i",M63="j",M63="l",M63="m",N63="i",N63="j",N63="l",N63="m"),VLOOKUP("e",'Características dos Cabos'!$D$25:$L$29,3),"")))))</f>
        <v/>
      </c>
      <c r="V63" s="311" t="str">
        <f t="shared" si="12"/>
        <v/>
      </c>
      <c r="W63" s="284"/>
      <c r="X63" s="298">
        <f t="shared" si="8"/>
        <v>0</v>
      </c>
      <c r="Y63" s="298">
        <f t="shared" si="9"/>
        <v>0</v>
      </c>
      <c r="Z63" s="284"/>
    </row>
    <row r="64" spans="1:26" ht="15" customHeight="1" thickBot="1" x14ac:dyDescent="0.3">
      <c r="A64" s="508"/>
      <c r="B64" s="512"/>
      <c r="C64" s="55"/>
      <c r="D64" s="56"/>
      <c r="E64" s="57"/>
      <c r="F64" s="64" t="str">
        <f t="shared" si="5"/>
        <v/>
      </c>
      <c r="G64" s="57"/>
      <c r="H64" s="313" t="str">
        <f>IF(AND(E64="",G64=""),"",SUM(F64:G64))</f>
        <v/>
      </c>
      <c r="J64" s="56"/>
      <c r="K64" s="56"/>
      <c r="L64" s="314" t="str">
        <f>IF(OR(J64="",K64=""),"",IF(J64="3",VLOOKUP(M64,'K% (Rede Convencional)'!$B$18:$M$29,8),(IF(J64="2",VLOOKUP(N64,'K% (Rede Convencional)'!$B$18:$M$29,9),(IF(J64="1",VLOOKUP(N64,'K% (Rede Convencional)'!$B$18:$M$29,10),(IF(J64="13",VLOOKUP(N64,'K% (Rede Convencional)'!$B$18:$M$29,11),(IF(J64="12",VLOOKUP(N64,'K% (Rede Convencional)'!$B$18:$M$29,12),0))))))))))</f>
        <v/>
      </c>
      <c r="M64" s="315" t="str">
        <f t="shared" si="6"/>
        <v/>
      </c>
      <c r="N64" s="315" t="str">
        <f>IF(K64="","",IF(K64="4 (4)","a",IF(OR(K64="2 (4)",K64="2 (2)"),VLOOKUP(K64,BT!$AE$21:$AF$22,2,FALSE),IF(OR(K64="1/0 (4)",K64="1/0 (2)"),VLOOKUP(K64,BT!$AE$24:$AF$25,2,FALSE),IF(OR(K64="4/0 (4)",K64="4/0 (2)",K64="4/0 (1/0)"),VLOOKUP(K64,BT!$AE$27:$AF$29,2,FALSE),IF(OR(K64="336,4 (4)",K64="336,4 (2)",K64="336,4 (1/0)",K64="336,4 (4/0)"),VLOOKUP(K64,BT!$AE$31:$AF$34,2,FALSE),0))))))</f>
        <v/>
      </c>
      <c r="O64" s="57"/>
      <c r="P64" s="316" t="str">
        <f t="shared" si="10"/>
        <v/>
      </c>
      <c r="Q64" s="316" t="str">
        <f>IF(P64="","",SUM($P$45:P64)+$W$55)</f>
        <v/>
      </c>
      <c r="R64" s="316" t="str">
        <f t="shared" si="11"/>
        <v/>
      </c>
      <c r="S64" s="317" t="str">
        <f>IF(OR(M64="a",N64="a"),VLOOKUP("a",'Características dos Cabos'!$D$25:$L$29,9),IF(OR(M64="b",M64="c",N64="b",N64="c"),VLOOKUP("b",'Características dos Cabos'!$D$25:$L$29,9),IF(OR(M64="d",M64="e",N64="d",N64="e"),VLOOKUP("c",'Características dos Cabos'!$D$25:$L$29,9),IF(OR(M64="f",M64="g",M64="h",N64="f",N64="g",N64="h"),VLOOKUP("d",'Características dos Cabos'!$D$25:$L$29,9),IF(OR(M64="i",M64="j",M64="l",M64="m",N64="i",N64="j",N64="l",N64="m"),VLOOKUP("e",'Características dos Cabos'!$D$25:$L$29,9),"")))))</f>
        <v/>
      </c>
      <c r="T64" s="316" t="str">
        <f t="shared" si="7"/>
        <v/>
      </c>
      <c r="U64" s="317" t="str">
        <f>IF(OR(M64="a",N64="a"),VLOOKUP("a",'Características dos Cabos'!$D$25:$L$29,3),IF(OR(M64="b",M64="c",N64="b",N64="c"),VLOOKUP("b",'Características dos Cabos'!$D$25:$L$29,3),IF(OR(M64="d",M64="e",N64="d",N64="e"),VLOOKUP("c",'Características dos Cabos'!$D$25:$L$29,3),IF(OR(M64="f",M64="g",M64="h",N64="f",N64="g",N64="h"),VLOOKUP("d",'Características dos Cabos'!$D$25:$L$29,3),IF(OR(M64="i",M64="j",M64="l",M64="m",N64="i",N64="j",N64="l",N64="m"),VLOOKUP("e",'Características dos Cabos'!$D$25:$L$29,3),"")))))</f>
        <v/>
      </c>
      <c r="V64" s="318" t="str">
        <f t="shared" si="12"/>
        <v/>
      </c>
      <c r="W64" s="284"/>
      <c r="X64" s="298">
        <f t="shared" si="8"/>
        <v>0</v>
      </c>
      <c r="Y64" s="298">
        <f t="shared" si="9"/>
        <v>0</v>
      </c>
      <c r="Z64" s="284"/>
    </row>
    <row r="65" spans="1:26" ht="15" customHeight="1" thickTop="1" x14ac:dyDescent="0.25">
      <c r="A65" s="508"/>
      <c r="B65" s="510" t="str">
        <f>CONCATENATE("Ramal 3 - Derivando no ponto ",C65)</f>
        <v xml:space="preserve">Ramal 3 - Derivando no ponto </v>
      </c>
      <c r="C65" s="36"/>
      <c r="D65" s="35"/>
      <c r="E65" s="47"/>
      <c r="F65" s="102" t="str">
        <f t="shared" si="5"/>
        <v/>
      </c>
      <c r="G65" s="47"/>
      <c r="H65" s="320" t="str">
        <f>IF(AND(E65="",G65=""),"",SUM(F65:G74))</f>
        <v/>
      </c>
      <c r="J65" s="35"/>
      <c r="K65" s="35"/>
      <c r="L65" s="321" t="str">
        <f>IF(OR(J65="",K65=""),"",IF(J65="3",VLOOKUP(M65,'K% (Rede Convencional)'!$B$18:$M$29,8),(IF(J65="2",VLOOKUP(N65,'K% (Rede Convencional)'!$B$18:$M$29,9),(IF(J65="1",VLOOKUP(N65,'K% (Rede Convencional)'!$B$18:$M$29,10),(IF(J65="13",VLOOKUP(N65,'K% (Rede Convencional)'!$B$18:$M$29,11),(IF(J65="12",VLOOKUP(N65,'K% (Rede Convencional)'!$B$18:$M$29,12),0))))))))))</f>
        <v/>
      </c>
      <c r="M65" s="294" t="str">
        <f t="shared" si="6"/>
        <v/>
      </c>
      <c r="N65" s="294" t="str">
        <f>IF(K65="","",IF(K65="4 (4)","a",IF(OR(K65="2 (4)",K65="2 (2)"),VLOOKUP(K65,BT!$AE$21:$AF$22,2,FALSE),IF(OR(K65="1/0 (4)",K65="1/0 (2)"),VLOOKUP(K65,BT!$AE$24:$AF$25,2,FALSE),IF(OR(K65="4/0 (4)",K65="4/0 (2)",K65="4/0 (1/0)"),VLOOKUP(K65,BT!$AE$27:$AF$29,2,FALSE),IF(OR(K65="336,4 (4)",K65="336,4 (2)",K65="336,4 (1/0)",K65="336,4 (4/0)"),VLOOKUP(K65,BT!$AE$31:$AF$34,2,FALSE),0))))))</f>
        <v/>
      </c>
      <c r="O65" s="47"/>
      <c r="P65" s="322" t="str">
        <f t="shared" si="10"/>
        <v/>
      </c>
      <c r="Q65" s="322" t="str">
        <f>IF(P65="","",P65+VLOOKUP(C65,$D$21:$Q$43,13,FALSE))</f>
        <v/>
      </c>
      <c r="R65" s="322" t="str">
        <f t="shared" si="11"/>
        <v/>
      </c>
      <c r="S65" s="323" t="str">
        <f>IF(OR(M65="a",N65="a"),VLOOKUP("a",'Características dos Cabos'!$D$25:$L$29,9),IF(OR(M65="b",M65="c",N65="b",N65="c"),VLOOKUP("b",'Características dos Cabos'!$D$25:$L$29,9),IF(OR(M65="d",M65="e",N65="d",N65="e"),VLOOKUP("c",'Características dos Cabos'!$D$25:$L$29,9),IF(OR(M65="f",M65="g",M65="h",N65="f",N65="g",N65="h"),VLOOKUP("d",'Características dos Cabos'!$D$25:$L$29,9),IF(OR(M65="i",M65="j",M65="l",M65="m",N65="i",N65="j",N65="l",N65="m"),VLOOKUP("e",'Características dos Cabos'!$D$25:$L$29,9),"")))))</f>
        <v/>
      </c>
      <c r="T65" s="322" t="str">
        <f t="shared" si="7"/>
        <v/>
      </c>
      <c r="U65" s="323" t="str">
        <f>IF(OR(M65="a",N65="a"),VLOOKUP("a",'Características dos Cabos'!$D$25:$L$29,3),IF(OR(M65="b",M65="c",N65="b",N65="c"),VLOOKUP("b",'Características dos Cabos'!$D$25:$L$29,3),IF(OR(M65="d",M65="e",N65="d",N65="e"),VLOOKUP("c",'Características dos Cabos'!$D$25:$L$29,3),IF(OR(M65="f",M65="g",M65="h",N65="f",N65="g",N65="h"),VLOOKUP("d",'Características dos Cabos'!$D$25:$L$29,3),IF(OR(M65="i",M65="j",M65="l",M65="m",N65="i",N65="j",N65="l",N65="m"),VLOOKUP("e",'Características dos Cabos'!$D$25:$L$29,3),"")))))</f>
        <v/>
      </c>
      <c r="V65" s="324" t="str">
        <f t="shared" si="12"/>
        <v/>
      </c>
      <c r="W65" s="343" t="e">
        <f>VLOOKUP(C65,$D$21:$Q$43,13,FALSE)</f>
        <v>#N/A</v>
      </c>
      <c r="X65" s="298">
        <f t="shared" si="8"/>
        <v>0</v>
      </c>
      <c r="Y65" s="298">
        <f t="shared" si="9"/>
        <v>0</v>
      </c>
      <c r="Z65" s="284"/>
    </row>
    <row r="66" spans="1:26" ht="15" customHeight="1" x14ac:dyDescent="0.25">
      <c r="A66" s="508"/>
      <c r="B66" s="511"/>
      <c r="C66" s="37"/>
      <c r="D66" s="33"/>
      <c r="E66" s="48"/>
      <c r="F66" s="102" t="str">
        <f t="shared" si="5"/>
        <v/>
      </c>
      <c r="G66" s="48"/>
      <c r="H66" s="306" t="str">
        <f>IF(AND(E66="",G66=""),"",SUM(F66:G74))</f>
        <v/>
      </c>
      <c r="J66" s="33"/>
      <c r="K66" s="33"/>
      <c r="L66" s="307" t="str">
        <f>IF(OR(J66="",K66=""),"",IF(J66="3",VLOOKUP(M66,'K% (Rede Convencional)'!$B$18:$M$29,8),(IF(J66="2",VLOOKUP(N66,'K% (Rede Convencional)'!$B$18:$M$29,9),(IF(J66="1",VLOOKUP(N66,'K% (Rede Convencional)'!$B$18:$M$29,10),(IF(J66="13",VLOOKUP(N66,'K% (Rede Convencional)'!$B$18:$M$29,11),(IF(J66="12",VLOOKUP(N66,'K% (Rede Convencional)'!$B$18:$M$29,12),0))))))))))</f>
        <v/>
      </c>
      <c r="M66" s="308" t="str">
        <f t="shared" si="6"/>
        <v/>
      </c>
      <c r="N66" s="308" t="str">
        <f>IF(K66="","",IF(K66="4 (4)","a",IF(OR(K66="2 (4)",K66="2 (2)"),VLOOKUP(K66,BT!$AE$21:$AF$22,2,FALSE),IF(OR(K66="1/0 (4)",K66="1/0 (2)"),VLOOKUP(K66,BT!$AE$24:$AF$25,2,FALSE),IF(OR(K66="4/0 (4)",K66="4/0 (2)",K66="4/0 (1/0)"),VLOOKUP(K66,BT!$AE$27:$AF$29,2,FALSE),IF(OR(K66="336,4 (4)",K66="336,4 (2)",K66="336,4 (1/0)",K66="336,4 (4/0)"),VLOOKUP(K66,BT!$AE$31:$AF$34,2,FALSE),0))))))</f>
        <v/>
      </c>
      <c r="O66" s="48"/>
      <c r="P66" s="309" t="str">
        <f t="shared" si="10"/>
        <v/>
      </c>
      <c r="Q66" s="309" t="str">
        <f>IF(P66="","",SUM($P$45:P66)+$W$65)</f>
        <v/>
      </c>
      <c r="R66" s="309" t="str">
        <f t="shared" si="11"/>
        <v/>
      </c>
      <c r="S66" s="310" t="str">
        <f>IF(OR(M66="a",N66="a"),VLOOKUP("a",'Características dos Cabos'!$D$25:$L$29,9),IF(OR(M66="b",M66="c",N66="b",N66="c"),VLOOKUP("b",'Características dos Cabos'!$D$25:$L$29,9),IF(OR(M66="d",M66="e",N66="d",N66="e"),VLOOKUP("c",'Características dos Cabos'!$D$25:$L$29,9),IF(OR(M66="f",M66="g",M66="h",N66="f",N66="g",N66="h"),VLOOKUP("d",'Características dos Cabos'!$D$25:$L$29,9),IF(OR(M66="i",M66="j",M66="l",M66="m",N66="i",N66="j",N66="l",N66="m"),VLOOKUP("e",'Características dos Cabos'!$D$25:$L$29,9),"")))))</f>
        <v/>
      </c>
      <c r="T66" s="309" t="str">
        <f t="shared" si="7"/>
        <v/>
      </c>
      <c r="U66" s="310" t="str">
        <f>IF(OR(M66="a",N66="a"),VLOOKUP("a",'Características dos Cabos'!$D$25:$L$29,3),IF(OR(M66="b",M66="c",N66="b",N66="c"),VLOOKUP("b",'Características dos Cabos'!$D$25:$L$29,3),IF(OR(M66="d",M66="e",N66="d",N66="e"),VLOOKUP("c",'Características dos Cabos'!$D$25:$L$29,3),IF(OR(M66="f",M66="g",M66="h",N66="f",N66="g",N66="h"),VLOOKUP("d",'Características dos Cabos'!$D$25:$L$29,3),IF(OR(M66="i",M66="j",M66="l",M66="m",N66="i",N66="j",N66="l",N66="m"),VLOOKUP("e",'Características dos Cabos'!$D$25:$L$29,3),"")))))</f>
        <v/>
      </c>
      <c r="V66" s="311" t="str">
        <f t="shared" si="12"/>
        <v/>
      </c>
      <c r="W66" s="284"/>
      <c r="X66" s="298">
        <f t="shared" si="8"/>
        <v>0</v>
      </c>
      <c r="Y66" s="298">
        <f t="shared" si="9"/>
        <v>0</v>
      </c>
      <c r="Z66" s="284"/>
    </row>
    <row r="67" spans="1:26" ht="15" customHeight="1" x14ac:dyDescent="0.25">
      <c r="A67" s="508"/>
      <c r="B67" s="511"/>
      <c r="C67" s="37"/>
      <c r="D67" s="33"/>
      <c r="E67" s="48"/>
      <c r="F67" s="102" t="str">
        <f t="shared" si="5"/>
        <v/>
      </c>
      <c r="G67" s="48"/>
      <c r="H67" s="306" t="str">
        <f>IF(AND(E67="",G67=""),"",SUM(F67:G74))</f>
        <v/>
      </c>
      <c r="J67" s="33"/>
      <c r="K67" s="33"/>
      <c r="L67" s="307" t="str">
        <f>IF(OR(J67="",K67=""),"",IF(J67="3",VLOOKUP(M67,'K% (Rede Convencional)'!$B$18:$M$29,8),(IF(J67="2",VLOOKUP(N67,'K% (Rede Convencional)'!$B$18:$M$29,9),(IF(J67="1",VLOOKUP(N67,'K% (Rede Convencional)'!$B$18:$M$29,10),(IF(J67="13",VLOOKUP(N67,'K% (Rede Convencional)'!$B$18:$M$29,11),(IF(J67="12",VLOOKUP(N67,'K% (Rede Convencional)'!$B$18:$M$29,12),0))))))))))</f>
        <v/>
      </c>
      <c r="M67" s="308" t="str">
        <f t="shared" si="6"/>
        <v/>
      </c>
      <c r="N67" s="308" t="str">
        <f>IF(K67="","",IF(K67="4 (4)","a",IF(OR(K67="2 (4)",K67="2 (2)"),VLOOKUP(K67,BT!$AE$21:$AF$22,2,FALSE),IF(OR(K67="1/0 (4)",K67="1/0 (2)"),VLOOKUP(K67,BT!$AE$24:$AF$25,2,FALSE),IF(OR(K67="4/0 (4)",K67="4/0 (2)",K67="4/0 (1/0)"),VLOOKUP(K67,BT!$AE$27:$AF$29,2,FALSE),IF(OR(K67="336,4 (4)",K67="336,4 (2)",K67="336,4 (1/0)",K67="336,4 (4/0)"),VLOOKUP(K67,BT!$AE$31:$AF$34,2,FALSE),0))))))</f>
        <v/>
      </c>
      <c r="O67" s="48"/>
      <c r="P67" s="309" t="str">
        <f t="shared" si="10"/>
        <v/>
      </c>
      <c r="Q67" s="309" t="str">
        <f>IF(P67="","",SUM($P$45:P67)+$W$65)</f>
        <v/>
      </c>
      <c r="R67" s="309" t="str">
        <f t="shared" si="11"/>
        <v/>
      </c>
      <c r="S67" s="310" t="str">
        <f>IF(OR(M67="a",N67="a"),VLOOKUP("a",'Características dos Cabos'!$D$25:$L$29,9),IF(OR(M67="b",M67="c",N67="b",N67="c"),VLOOKUP("b",'Características dos Cabos'!$D$25:$L$29,9),IF(OR(M67="d",M67="e",N67="d",N67="e"),VLOOKUP("c",'Características dos Cabos'!$D$25:$L$29,9),IF(OR(M67="f",M67="g",M67="h",N67="f",N67="g",N67="h"),VLOOKUP("d",'Características dos Cabos'!$D$25:$L$29,9),IF(OR(M67="i",M67="j",M67="l",M67="m",N67="i",N67="j",N67="l",N67="m"),VLOOKUP("e",'Características dos Cabos'!$D$25:$L$29,9),"")))))</f>
        <v/>
      </c>
      <c r="T67" s="309" t="str">
        <f t="shared" si="7"/>
        <v/>
      </c>
      <c r="U67" s="310" t="str">
        <f>IF(OR(M67="a",N67="a"),VLOOKUP("a",'Características dos Cabos'!$D$25:$L$29,3),IF(OR(M67="b",M67="c",N67="b",N67="c"),VLOOKUP("b",'Características dos Cabos'!$D$25:$L$29,3),IF(OR(M67="d",M67="e",N67="d",N67="e"),VLOOKUP("c",'Características dos Cabos'!$D$25:$L$29,3),IF(OR(M67="f",M67="g",M67="h",N67="f",N67="g",N67="h"),VLOOKUP("d",'Características dos Cabos'!$D$25:$L$29,3),IF(OR(M67="i",M67="j",M67="l",M67="m",N67="i",N67="j",N67="l",N67="m"),VLOOKUP("e",'Características dos Cabos'!$D$25:$L$29,3),"")))))</f>
        <v/>
      </c>
      <c r="V67" s="311" t="str">
        <f t="shared" si="12"/>
        <v/>
      </c>
      <c r="W67" s="284"/>
      <c r="X67" s="298">
        <f t="shared" si="8"/>
        <v>0</v>
      </c>
      <c r="Y67" s="298">
        <f t="shared" si="9"/>
        <v>0</v>
      </c>
      <c r="Z67" s="284"/>
    </row>
    <row r="68" spans="1:26" ht="15" customHeight="1" x14ac:dyDescent="0.25">
      <c r="A68" s="508"/>
      <c r="B68" s="511"/>
      <c r="C68" s="37"/>
      <c r="D68" s="33"/>
      <c r="E68" s="48"/>
      <c r="F68" s="102" t="str">
        <f t="shared" si="5"/>
        <v/>
      </c>
      <c r="G68" s="48"/>
      <c r="H68" s="306" t="str">
        <f>IF(AND(E68="",G68=""),"",SUM(F68:G74))</f>
        <v/>
      </c>
      <c r="J68" s="33"/>
      <c r="K68" s="33"/>
      <c r="L68" s="307" t="str">
        <f>IF(OR(J68="",K68=""),"",IF(J68="3",VLOOKUP(M68,'K% (Rede Convencional)'!$B$18:$M$29,8),(IF(J68="2",VLOOKUP(N68,'K% (Rede Convencional)'!$B$18:$M$29,9),(IF(J68="1",VLOOKUP(N68,'K% (Rede Convencional)'!$B$18:$M$29,10),(IF(J68="13",VLOOKUP(N68,'K% (Rede Convencional)'!$B$18:$M$29,11),(IF(J68="12",VLOOKUP(N68,'K% (Rede Convencional)'!$B$18:$M$29,12),0))))))))))</f>
        <v/>
      </c>
      <c r="M68" s="308" t="str">
        <f t="shared" si="6"/>
        <v/>
      </c>
      <c r="N68" s="308" t="str">
        <f>IF(K68="","",IF(K68="4 (4)","a",IF(OR(K68="2 (4)",K68="2 (2)"),VLOOKUP(K68,BT!$AE$21:$AF$22,2,FALSE),IF(OR(K68="1/0 (4)",K68="1/0 (2)"),VLOOKUP(K68,BT!$AE$24:$AF$25,2,FALSE),IF(OR(K68="4/0 (4)",K68="4/0 (2)",K68="4/0 (1/0)"),VLOOKUP(K68,BT!$AE$27:$AF$29,2,FALSE),IF(OR(K68="336,4 (4)",K68="336,4 (2)",K68="336,4 (1/0)",K68="336,4 (4/0)"),VLOOKUP(K68,BT!$AE$31:$AF$34,2,FALSE),0))))))</f>
        <v/>
      </c>
      <c r="O68" s="48"/>
      <c r="P68" s="309" t="str">
        <f t="shared" si="10"/>
        <v/>
      </c>
      <c r="Q68" s="309" t="str">
        <f>IF(P68="","",SUM($P$45:P68)+$W$65)</f>
        <v/>
      </c>
      <c r="R68" s="309" t="str">
        <f t="shared" si="11"/>
        <v/>
      </c>
      <c r="S68" s="310" t="str">
        <f>IF(OR(M68="a",N68="a"),VLOOKUP("a",'Características dos Cabos'!$D$25:$L$29,9),IF(OR(M68="b",M68="c",N68="b",N68="c"),VLOOKUP("b",'Características dos Cabos'!$D$25:$L$29,9),IF(OR(M68="d",M68="e",N68="d",N68="e"),VLOOKUP("c",'Características dos Cabos'!$D$25:$L$29,9),IF(OR(M68="f",M68="g",M68="h",N68="f",N68="g",N68="h"),VLOOKUP("d",'Características dos Cabos'!$D$25:$L$29,9),IF(OR(M68="i",M68="j",M68="l",M68="m",N68="i",N68="j",N68="l",N68="m"),VLOOKUP("e",'Características dos Cabos'!$D$25:$L$29,9),"")))))</f>
        <v/>
      </c>
      <c r="T68" s="309" t="str">
        <f t="shared" si="7"/>
        <v/>
      </c>
      <c r="U68" s="310" t="str">
        <f>IF(OR(M68="a",N68="a"),VLOOKUP("a",'Características dos Cabos'!$D$25:$L$29,3),IF(OR(M68="b",M68="c",N68="b",N68="c"),VLOOKUP("b",'Características dos Cabos'!$D$25:$L$29,3),IF(OR(M68="d",M68="e",N68="d",N68="e"),VLOOKUP("c",'Características dos Cabos'!$D$25:$L$29,3),IF(OR(M68="f",M68="g",M68="h",N68="f",N68="g",N68="h"),VLOOKUP("d",'Características dos Cabos'!$D$25:$L$29,3),IF(OR(M68="i",M68="j",M68="l",M68="m",N68="i",N68="j",N68="l",N68="m"),VLOOKUP("e",'Características dos Cabos'!$D$25:$L$29,3),"")))))</f>
        <v/>
      </c>
      <c r="V68" s="311" t="str">
        <f t="shared" si="12"/>
        <v/>
      </c>
      <c r="W68" s="284"/>
      <c r="X68" s="298">
        <f t="shared" si="8"/>
        <v>0</v>
      </c>
      <c r="Y68" s="298">
        <f t="shared" si="9"/>
        <v>0</v>
      </c>
      <c r="Z68" s="284"/>
    </row>
    <row r="69" spans="1:26" ht="15" customHeight="1" x14ac:dyDescent="0.25">
      <c r="A69" s="508"/>
      <c r="B69" s="511"/>
      <c r="C69" s="37"/>
      <c r="D69" s="33"/>
      <c r="E69" s="48"/>
      <c r="F69" s="102" t="str">
        <f t="shared" si="5"/>
        <v/>
      </c>
      <c r="G69" s="48"/>
      <c r="H69" s="306" t="str">
        <f>IF(AND(E69="",G69=""),"",SUM(F69:G74))</f>
        <v/>
      </c>
      <c r="J69" s="33"/>
      <c r="K69" s="33"/>
      <c r="L69" s="307" t="str">
        <f>IF(OR(J69="",K69=""),"",IF(J69="3",VLOOKUP(M69,'K% (Rede Convencional)'!$B$18:$M$29,8),(IF(J69="2",VLOOKUP(N69,'K% (Rede Convencional)'!$B$18:$M$29,9),(IF(J69="1",VLOOKUP(N69,'K% (Rede Convencional)'!$B$18:$M$29,10),(IF(J69="13",VLOOKUP(N69,'K% (Rede Convencional)'!$B$18:$M$29,11),(IF(J69="12",VLOOKUP(N69,'K% (Rede Convencional)'!$B$18:$M$29,12),0))))))))))</f>
        <v/>
      </c>
      <c r="M69" s="308" t="str">
        <f t="shared" si="6"/>
        <v/>
      </c>
      <c r="N69" s="308" t="str">
        <f>IF(K69="","",IF(K69="4 (4)","a",IF(OR(K69="2 (4)",K69="2 (2)"),VLOOKUP(K69,BT!$AE$21:$AF$22,2,FALSE),IF(OR(K69="1/0 (4)",K69="1/0 (2)"),VLOOKUP(K69,BT!$AE$24:$AF$25,2,FALSE),IF(OR(K69="4/0 (4)",K69="4/0 (2)",K69="4/0 (1/0)"),VLOOKUP(K69,BT!$AE$27:$AF$29,2,FALSE),IF(OR(K69="336,4 (4)",K69="336,4 (2)",K69="336,4 (1/0)",K69="336,4 (4/0)"),VLOOKUP(K69,BT!$AE$31:$AF$34,2,FALSE),0))))))</f>
        <v/>
      </c>
      <c r="O69" s="48"/>
      <c r="P69" s="309" t="str">
        <f t="shared" si="10"/>
        <v/>
      </c>
      <c r="Q69" s="309" t="str">
        <f>IF(P69="","",SUM($P$45:P69)+$W$65)</f>
        <v/>
      </c>
      <c r="R69" s="309" t="str">
        <f t="shared" si="11"/>
        <v/>
      </c>
      <c r="S69" s="310" t="str">
        <f>IF(OR(M69="a",N69="a"),VLOOKUP("a",'Características dos Cabos'!$D$25:$L$29,9),IF(OR(M69="b",M69="c",N69="b",N69="c"),VLOOKUP("b",'Características dos Cabos'!$D$25:$L$29,9),IF(OR(M69="d",M69="e",N69="d",N69="e"),VLOOKUP("c",'Características dos Cabos'!$D$25:$L$29,9),IF(OR(M69="f",M69="g",M69="h",N69="f",N69="g",N69="h"),VLOOKUP("d",'Características dos Cabos'!$D$25:$L$29,9),IF(OR(M69="i",M69="j",M69="l",M69="m",N69="i",N69="j",N69="l",N69="m"),VLOOKUP("e",'Características dos Cabos'!$D$25:$L$29,9),"")))))</f>
        <v/>
      </c>
      <c r="T69" s="309" t="str">
        <f t="shared" si="7"/>
        <v/>
      </c>
      <c r="U69" s="310" t="str">
        <f>IF(OR(M69="a",N69="a"),VLOOKUP("a",'Características dos Cabos'!$D$25:$L$29,3),IF(OR(M69="b",M69="c",N69="b",N69="c"),VLOOKUP("b",'Características dos Cabos'!$D$25:$L$29,3),IF(OR(M69="d",M69="e",N69="d",N69="e"),VLOOKUP("c",'Características dos Cabos'!$D$25:$L$29,3),IF(OR(M69="f",M69="g",M69="h",N69="f",N69="g",N69="h"),VLOOKUP("d",'Características dos Cabos'!$D$25:$L$29,3),IF(OR(M69="i",M69="j",M69="l",M69="m",N69="i",N69="j",N69="l",N69="m"),VLOOKUP("e",'Características dos Cabos'!$D$25:$L$29,3),"")))))</f>
        <v/>
      </c>
      <c r="V69" s="311" t="str">
        <f t="shared" si="12"/>
        <v/>
      </c>
      <c r="W69" s="284"/>
      <c r="X69" s="298">
        <f t="shared" si="8"/>
        <v>0</v>
      </c>
      <c r="Y69" s="298">
        <f t="shared" si="9"/>
        <v>0</v>
      </c>
      <c r="Z69" s="284"/>
    </row>
    <row r="70" spans="1:26" ht="15" customHeight="1" x14ac:dyDescent="0.25">
      <c r="A70" s="508"/>
      <c r="B70" s="511"/>
      <c r="C70" s="37"/>
      <c r="D70" s="33"/>
      <c r="E70" s="48"/>
      <c r="F70" s="102" t="str">
        <f t="shared" si="5"/>
        <v/>
      </c>
      <c r="G70" s="48"/>
      <c r="H70" s="306" t="str">
        <f>IF(AND(E70="",G70=""),"",SUM(F70:G74))</f>
        <v/>
      </c>
      <c r="J70" s="33"/>
      <c r="K70" s="33"/>
      <c r="L70" s="307" t="str">
        <f>IF(OR(J70="",K70=""),"",IF(J70="3",VLOOKUP(M70,'K% (Rede Convencional)'!$B$18:$M$29,8),(IF(J70="2",VLOOKUP(N70,'K% (Rede Convencional)'!$B$18:$M$29,9),(IF(J70="1",VLOOKUP(N70,'K% (Rede Convencional)'!$B$18:$M$29,10),(IF(J70="13",VLOOKUP(N70,'K% (Rede Convencional)'!$B$18:$M$29,11),(IF(J70="12",VLOOKUP(N70,'K% (Rede Convencional)'!$B$18:$M$29,12),0))))))))))</f>
        <v/>
      </c>
      <c r="M70" s="308" t="str">
        <f t="shared" si="6"/>
        <v/>
      </c>
      <c r="N70" s="308" t="str">
        <f>IF(K70="","",IF(K70="4 (4)","a",IF(OR(K70="2 (4)",K70="2 (2)"),VLOOKUP(K70,BT!$AE$21:$AF$22,2,FALSE),IF(OR(K70="1/0 (4)",K70="1/0 (2)"),VLOOKUP(K70,BT!$AE$24:$AF$25,2,FALSE),IF(OR(K70="4/0 (4)",K70="4/0 (2)",K70="4/0 (1/0)"),VLOOKUP(K70,BT!$AE$27:$AF$29,2,FALSE),IF(OR(K70="336,4 (4)",K70="336,4 (2)",K70="336,4 (1/0)",K70="336,4 (4/0)"),VLOOKUP(K70,BT!$AE$31:$AF$34,2,FALSE),0))))))</f>
        <v/>
      </c>
      <c r="O70" s="48"/>
      <c r="P70" s="309" t="str">
        <f t="shared" si="10"/>
        <v/>
      </c>
      <c r="Q70" s="309" t="str">
        <f>IF(P70="","",SUM($P$45:P70)+$W$65)</f>
        <v/>
      </c>
      <c r="R70" s="309" t="str">
        <f t="shared" si="11"/>
        <v/>
      </c>
      <c r="S70" s="310" t="str">
        <f>IF(OR(M70="a",N70="a"),VLOOKUP("a",'Características dos Cabos'!$D$25:$L$29,9),IF(OR(M70="b",M70="c",N70="b",N70="c"),VLOOKUP("b",'Características dos Cabos'!$D$25:$L$29,9),IF(OR(M70="d",M70="e",N70="d",N70="e"),VLOOKUP("c",'Características dos Cabos'!$D$25:$L$29,9),IF(OR(M70="f",M70="g",M70="h",N70="f",N70="g",N70="h"),VLOOKUP("d",'Características dos Cabos'!$D$25:$L$29,9),IF(OR(M70="i",M70="j",M70="l",M70="m",N70="i",N70="j",N70="l",N70="m"),VLOOKUP("e",'Características dos Cabos'!$D$25:$L$29,9),"")))))</f>
        <v/>
      </c>
      <c r="T70" s="309" t="str">
        <f t="shared" si="7"/>
        <v/>
      </c>
      <c r="U70" s="310" t="str">
        <f>IF(OR(M70="a",N70="a"),VLOOKUP("a",'Características dos Cabos'!$D$25:$L$29,3),IF(OR(M70="b",M70="c",N70="b",N70="c"),VLOOKUP("b",'Características dos Cabos'!$D$25:$L$29,3),IF(OR(M70="d",M70="e",N70="d",N70="e"),VLOOKUP("c",'Características dos Cabos'!$D$25:$L$29,3),IF(OR(M70="f",M70="g",M70="h",N70="f",N70="g",N70="h"),VLOOKUP("d",'Características dos Cabos'!$D$25:$L$29,3),IF(OR(M70="i",M70="j",M70="l",M70="m",N70="i",N70="j",N70="l",N70="m"),VLOOKUP("e",'Características dos Cabos'!$D$25:$L$29,3),"")))))</f>
        <v/>
      </c>
      <c r="V70" s="311" t="str">
        <f t="shared" si="12"/>
        <v/>
      </c>
      <c r="W70" s="284"/>
      <c r="X70" s="298">
        <f t="shared" si="8"/>
        <v>0</v>
      </c>
      <c r="Y70" s="298">
        <f t="shared" si="9"/>
        <v>0</v>
      </c>
      <c r="Z70" s="284"/>
    </row>
    <row r="71" spans="1:26" ht="15" customHeight="1" x14ac:dyDescent="0.25">
      <c r="A71" s="508"/>
      <c r="B71" s="511"/>
      <c r="C71" s="37"/>
      <c r="D71" s="33"/>
      <c r="E71" s="48"/>
      <c r="F71" s="102" t="str">
        <f t="shared" si="5"/>
        <v/>
      </c>
      <c r="G71" s="48"/>
      <c r="H71" s="306" t="str">
        <f>IF(AND(E71="",G71=""),"",SUM(F71:G74))</f>
        <v/>
      </c>
      <c r="J71" s="33"/>
      <c r="K71" s="33"/>
      <c r="L71" s="307" t="str">
        <f>IF(OR(J71="",K71=""),"",IF(J71="3",VLOOKUP(M71,'K% (Rede Convencional)'!$B$18:$M$29,8),(IF(J71="2",VLOOKUP(N71,'K% (Rede Convencional)'!$B$18:$M$29,9),(IF(J71="1",VLOOKUP(N71,'K% (Rede Convencional)'!$B$18:$M$29,10),(IF(J71="13",VLOOKUP(N71,'K% (Rede Convencional)'!$B$18:$M$29,11),(IF(J71="12",VLOOKUP(N71,'K% (Rede Convencional)'!$B$18:$M$29,12),0))))))))))</f>
        <v/>
      </c>
      <c r="M71" s="308" t="str">
        <f t="shared" si="6"/>
        <v/>
      </c>
      <c r="N71" s="308" t="str">
        <f>IF(K71="","",IF(K71="4 (4)","a",IF(OR(K71="2 (4)",K71="2 (2)"),VLOOKUP(K71,BT!$AE$21:$AF$22,2,FALSE),IF(OR(K71="1/0 (4)",K71="1/0 (2)"),VLOOKUP(K71,BT!$AE$24:$AF$25,2,FALSE),IF(OR(K71="4/0 (4)",K71="4/0 (2)",K71="4/0 (1/0)"),VLOOKUP(K71,BT!$AE$27:$AF$29,2,FALSE),IF(OR(K71="336,4 (4)",K71="336,4 (2)",K71="336,4 (1/0)",K71="336,4 (4/0)"),VLOOKUP(K71,BT!$AE$31:$AF$34,2,FALSE),0))))))</f>
        <v/>
      </c>
      <c r="O71" s="48"/>
      <c r="P71" s="309" t="str">
        <f t="shared" si="10"/>
        <v/>
      </c>
      <c r="Q71" s="309" t="str">
        <f>IF(P71="","",SUM($P$45:P71)+$W$65)</f>
        <v/>
      </c>
      <c r="R71" s="309" t="str">
        <f t="shared" si="11"/>
        <v/>
      </c>
      <c r="S71" s="310" t="str">
        <f>IF(OR(M71="a",N71="a"),VLOOKUP("a",'Características dos Cabos'!$D$25:$L$29,9),IF(OR(M71="b",M71="c",N71="b",N71="c"),VLOOKUP("b",'Características dos Cabos'!$D$25:$L$29,9),IF(OR(M71="d",M71="e",N71="d",N71="e"),VLOOKUP("c",'Características dos Cabos'!$D$25:$L$29,9),IF(OR(M71="f",M71="g",M71="h",N71="f",N71="g",N71="h"),VLOOKUP("d",'Características dos Cabos'!$D$25:$L$29,9),IF(OR(M71="i",M71="j",M71="l",M71="m",N71="i",N71="j",N71="l",N71="m"),VLOOKUP("e",'Características dos Cabos'!$D$25:$L$29,9),"")))))</f>
        <v/>
      </c>
      <c r="T71" s="309" t="str">
        <f t="shared" si="7"/>
        <v/>
      </c>
      <c r="U71" s="310" t="str">
        <f>IF(OR(M71="a",N71="a"),VLOOKUP("a",'Características dos Cabos'!$D$25:$L$29,3),IF(OR(M71="b",M71="c",N71="b",N71="c"),VLOOKUP("b",'Características dos Cabos'!$D$25:$L$29,3),IF(OR(M71="d",M71="e",N71="d",N71="e"),VLOOKUP("c",'Características dos Cabos'!$D$25:$L$29,3),IF(OR(M71="f",M71="g",M71="h",N71="f",N71="g",N71="h"),VLOOKUP("d",'Características dos Cabos'!$D$25:$L$29,3),IF(OR(M71="i",M71="j",M71="l",M71="m",N71="i",N71="j",N71="l",N71="m"),VLOOKUP("e",'Características dos Cabos'!$D$25:$L$29,3),"")))))</f>
        <v/>
      </c>
      <c r="V71" s="311" t="str">
        <f t="shared" si="12"/>
        <v/>
      </c>
      <c r="W71" s="284"/>
      <c r="X71" s="298">
        <f t="shared" si="8"/>
        <v>0</v>
      </c>
      <c r="Y71" s="298">
        <f t="shared" si="9"/>
        <v>0</v>
      </c>
      <c r="Z71" s="284"/>
    </row>
    <row r="72" spans="1:26" ht="15" customHeight="1" x14ac:dyDescent="0.25">
      <c r="A72" s="508"/>
      <c r="B72" s="511"/>
      <c r="C72" s="37"/>
      <c r="D72" s="33"/>
      <c r="E72" s="48"/>
      <c r="F72" s="102" t="str">
        <f t="shared" si="5"/>
        <v/>
      </c>
      <c r="G72" s="48"/>
      <c r="H72" s="306" t="str">
        <f>IF(AND(E72="",G72=""),"",SUM(F72:G74))</f>
        <v/>
      </c>
      <c r="J72" s="33"/>
      <c r="K72" s="33"/>
      <c r="L72" s="307" t="str">
        <f>IF(OR(J72="",K72=""),"",IF(J72="3",VLOOKUP(M72,'K% (Rede Convencional)'!$B$18:$M$29,8),(IF(J72="2",VLOOKUP(N72,'K% (Rede Convencional)'!$B$18:$M$29,9),(IF(J72="1",VLOOKUP(N72,'K% (Rede Convencional)'!$B$18:$M$29,10),(IF(J72="13",VLOOKUP(N72,'K% (Rede Convencional)'!$B$18:$M$29,11),(IF(J72="12",VLOOKUP(N72,'K% (Rede Convencional)'!$B$18:$M$29,12),0))))))))))</f>
        <v/>
      </c>
      <c r="M72" s="308" t="str">
        <f t="shared" si="6"/>
        <v/>
      </c>
      <c r="N72" s="308" t="str">
        <f>IF(K72="","",IF(K72="4 (4)","a",IF(OR(K72="2 (4)",K72="2 (2)"),VLOOKUP(K72,BT!$AE$21:$AF$22,2,FALSE),IF(OR(K72="1/0 (4)",K72="1/0 (2)"),VLOOKUP(K72,BT!$AE$24:$AF$25,2,FALSE),IF(OR(K72="4/0 (4)",K72="4/0 (2)",K72="4/0 (1/0)"),VLOOKUP(K72,BT!$AE$27:$AF$29,2,FALSE),IF(OR(K72="336,4 (4)",K72="336,4 (2)",K72="336,4 (1/0)",K72="336,4 (4/0)"),VLOOKUP(K72,BT!$AE$31:$AF$34,2,FALSE),0))))))</f>
        <v/>
      </c>
      <c r="O72" s="48"/>
      <c r="P72" s="309" t="str">
        <f t="shared" si="10"/>
        <v/>
      </c>
      <c r="Q72" s="309" t="str">
        <f>IF(P72="","",SUM($P$45:P72)+$W$65)</f>
        <v/>
      </c>
      <c r="R72" s="309" t="str">
        <f t="shared" si="11"/>
        <v/>
      </c>
      <c r="S72" s="310" t="str">
        <f>IF(OR(M72="a",N72="a"),VLOOKUP("a",'Características dos Cabos'!$D$25:$L$29,9),IF(OR(M72="b",M72="c",N72="b",N72="c"),VLOOKUP("b",'Características dos Cabos'!$D$25:$L$29,9),IF(OR(M72="d",M72="e",N72="d",N72="e"),VLOOKUP("c",'Características dos Cabos'!$D$25:$L$29,9),IF(OR(M72="f",M72="g",M72="h",N72="f",N72="g",N72="h"),VLOOKUP("d",'Características dos Cabos'!$D$25:$L$29,9),IF(OR(M72="i",M72="j",M72="l",M72="m",N72="i",N72="j",N72="l",N72="m"),VLOOKUP("e",'Características dos Cabos'!$D$25:$L$29,9),"")))))</f>
        <v/>
      </c>
      <c r="T72" s="309" t="str">
        <f t="shared" si="7"/>
        <v/>
      </c>
      <c r="U72" s="310" t="str">
        <f>IF(OR(M72="a",N72="a"),VLOOKUP("a",'Características dos Cabos'!$D$25:$L$29,3),IF(OR(M72="b",M72="c",N72="b",N72="c"),VLOOKUP("b",'Características dos Cabos'!$D$25:$L$29,3),IF(OR(M72="d",M72="e",N72="d",N72="e"),VLOOKUP("c",'Características dos Cabos'!$D$25:$L$29,3),IF(OR(M72="f",M72="g",M72="h",N72="f",N72="g",N72="h"),VLOOKUP("d",'Características dos Cabos'!$D$25:$L$29,3),IF(OR(M72="i",M72="j",M72="l",M72="m",N72="i",N72="j",N72="l",N72="m"),VLOOKUP("e",'Características dos Cabos'!$D$25:$L$29,3),"")))))</f>
        <v/>
      </c>
      <c r="V72" s="311" t="str">
        <f t="shared" si="12"/>
        <v/>
      </c>
      <c r="W72" s="284"/>
      <c r="X72" s="298">
        <f t="shared" si="8"/>
        <v>0</v>
      </c>
      <c r="Y72" s="298">
        <f t="shared" si="9"/>
        <v>0</v>
      </c>
      <c r="Z72" s="284"/>
    </row>
    <row r="73" spans="1:26" ht="15" customHeight="1" x14ac:dyDescent="0.25">
      <c r="A73" s="508"/>
      <c r="B73" s="511"/>
      <c r="C73" s="37"/>
      <c r="D73" s="33"/>
      <c r="E73" s="48"/>
      <c r="F73" s="102" t="str">
        <f t="shared" si="5"/>
        <v/>
      </c>
      <c r="G73" s="48"/>
      <c r="H73" s="306" t="str">
        <f>IF(AND(E73="",G73=""),"",SUM(F73:G74))</f>
        <v/>
      </c>
      <c r="J73" s="33"/>
      <c r="K73" s="33"/>
      <c r="L73" s="307" t="str">
        <f>IF(OR(J73="",K73=""),"",IF(J73="3",VLOOKUP(M73,'K% (Rede Convencional)'!$B$18:$M$29,8),(IF(J73="2",VLOOKUP(N73,'K% (Rede Convencional)'!$B$18:$M$29,9),(IF(J73="1",VLOOKUP(N73,'K% (Rede Convencional)'!$B$18:$M$29,10),(IF(J73="13",VLOOKUP(N73,'K% (Rede Convencional)'!$B$18:$M$29,11),(IF(J73="12",VLOOKUP(N73,'K% (Rede Convencional)'!$B$18:$M$29,12),0))))))))))</f>
        <v/>
      </c>
      <c r="M73" s="308" t="str">
        <f t="shared" si="6"/>
        <v/>
      </c>
      <c r="N73" s="308" t="str">
        <f>IF(K73="","",IF(K73="4 (4)","a",IF(OR(K73="2 (4)",K73="2 (2)"),VLOOKUP(K73,BT!$AE$21:$AF$22,2,FALSE),IF(OR(K73="1/0 (4)",K73="1/0 (2)"),VLOOKUP(K73,BT!$AE$24:$AF$25,2,FALSE),IF(OR(K73="4/0 (4)",K73="4/0 (2)",K73="4/0 (1/0)"),VLOOKUP(K73,BT!$AE$27:$AF$29,2,FALSE),IF(OR(K73="336,4 (4)",K73="336,4 (2)",K73="336,4 (1/0)",K73="336,4 (4/0)"),VLOOKUP(K73,BT!$AE$31:$AF$34,2,FALSE),0))))))</f>
        <v/>
      </c>
      <c r="O73" s="48"/>
      <c r="P73" s="309" t="str">
        <f t="shared" si="10"/>
        <v/>
      </c>
      <c r="Q73" s="309" t="str">
        <f>IF(P73="","",SUM($P$45:P73)+$W$65)</f>
        <v/>
      </c>
      <c r="R73" s="309" t="str">
        <f t="shared" si="11"/>
        <v/>
      </c>
      <c r="S73" s="310" t="str">
        <f>IF(OR(M73="a",N73="a"),VLOOKUP("a",'Características dos Cabos'!$D$25:$L$29,9),IF(OR(M73="b",M73="c",N73="b",N73="c"),VLOOKUP("b",'Características dos Cabos'!$D$25:$L$29,9),IF(OR(M73="d",M73="e",N73="d",N73="e"),VLOOKUP("c",'Características dos Cabos'!$D$25:$L$29,9),IF(OR(M73="f",M73="g",M73="h",N73="f",N73="g",N73="h"),VLOOKUP("d",'Características dos Cabos'!$D$25:$L$29,9),IF(OR(M73="i",M73="j",M73="l",M73="m",N73="i",N73="j",N73="l",N73="m"),VLOOKUP("e",'Características dos Cabos'!$D$25:$L$29,9),"")))))</f>
        <v/>
      </c>
      <c r="T73" s="309" t="str">
        <f t="shared" si="7"/>
        <v/>
      </c>
      <c r="U73" s="310" t="str">
        <f>IF(OR(M73="a",N73="a"),VLOOKUP("a",'Características dos Cabos'!$D$25:$L$29,3),IF(OR(M73="b",M73="c",N73="b",N73="c"),VLOOKUP("b",'Características dos Cabos'!$D$25:$L$29,3),IF(OR(M73="d",M73="e",N73="d",N73="e"),VLOOKUP("c",'Características dos Cabos'!$D$25:$L$29,3),IF(OR(M73="f",M73="g",M73="h",N73="f",N73="g",N73="h"),VLOOKUP("d",'Características dos Cabos'!$D$25:$L$29,3),IF(OR(M73="i",M73="j",M73="l",M73="m",N73="i",N73="j",N73="l",N73="m"),VLOOKUP("e",'Características dos Cabos'!$D$25:$L$29,3),"")))))</f>
        <v/>
      </c>
      <c r="V73" s="311" t="str">
        <f t="shared" si="12"/>
        <v/>
      </c>
      <c r="W73" s="284"/>
      <c r="X73" s="298">
        <f t="shared" si="8"/>
        <v>0</v>
      </c>
      <c r="Y73" s="298">
        <f t="shared" si="9"/>
        <v>0</v>
      </c>
      <c r="Z73" s="284"/>
    </row>
    <row r="74" spans="1:26" ht="15" customHeight="1" thickBot="1" x14ac:dyDescent="0.3">
      <c r="A74" s="508"/>
      <c r="B74" s="512"/>
      <c r="C74" s="55"/>
      <c r="D74" s="56"/>
      <c r="E74" s="57"/>
      <c r="F74" s="64" t="str">
        <f t="shared" si="5"/>
        <v/>
      </c>
      <c r="G74" s="57"/>
      <c r="H74" s="313" t="str">
        <f>IF(AND(E74="",G74=""),"",SUM(F74:G74))</f>
        <v/>
      </c>
      <c r="J74" s="56"/>
      <c r="K74" s="56"/>
      <c r="L74" s="314" t="str">
        <f>IF(OR(J74="",K74=""),"",IF(J74="3",VLOOKUP(M74,'K% (Rede Convencional)'!$B$18:$M$29,8),(IF(J74="2",VLOOKUP(N74,'K% (Rede Convencional)'!$B$18:$M$29,9),(IF(J74="1",VLOOKUP(N74,'K% (Rede Convencional)'!$B$18:$M$29,10),(IF(J74="13",VLOOKUP(N74,'K% (Rede Convencional)'!$B$18:$M$29,11),(IF(J74="12",VLOOKUP(N74,'K% (Rede Convencional)'!$B$18:$M$29,12),0))))))))))</f>
        <v/>
      </c>
      <c r="M74" s="315" t="str">
        <f t="shared" si="6"/>
        <v/>
      </c>
      <c r="N74" s="315" t="str">
        <f>IF(K74="","",IF(K74="4 (4)","a",IF(OR(K74="2 (4)",K74="2 (2)"),VLOOKUP(K74,BT!$AE$21:$AF$22,2,FALSE),IF(OR(K74="1/0 (4)",K74="1/0 (2)"),VLOOKUP(K74,BT!$AE$24:$AF$25,2,FALSE),IF(OR(K74="4/0 (4)",K74="4/0 (2)",K74="4/0 (1/0)"),VLOOKUP(K74,BT!$AE$27:$AF$29,2,FALSE),IF(OR(K74="336,4 (4)",K74="336,4 (2)",K74="336,4 (1/0)",K74="336,4 (4/0)"),VLOOKUP(K74,BT!$AE$31:$AF$34,2,FALSE),0))))))</f>
        <v/>
      </c>
      <c r="O74" s="57"/>
      <c r="P74" s="316" t="str">
        <f t="shared" si="10"/>
        <v/>
      </c>
      <c r="Q74" s="316" t="str">
        <f>IF(P74="","",SUM($P$45:P74)+$W$65)</f>
        <v/>
      </c>
      <c r="R74" s="316" t="str">
        <f t="shared" si="11"/>
        <v/>
      </c>
      <c r="S74" s="317" t="str">
        <f>IF(OR(M74="a",N74="a"),VLOOKUP("a",'Características dos Cabos'!$D$25:$L$29,9),IF(OR(M74="b",M74="c",N74="b",N74="c"),VLOOKUP("b",'Características dos Cabos'!$D$25:$L$29,9),IF(OR(M74="d",M74="e",N74="d",N74="e"),VLOOKUP("c",'Características dos Cabos'!$D$25:$L$29,9),IF(OR(M74="f",M74="g",M74="h",N74="f",N74="g",N74="h"),VLOOKUP("d",'Características dos Cabos'!$D$25:$L$29,9),IF(OR(M74="i",M74="j",M74="l",M74="m",N74="i",N74="j",N74="l",N74="m"),VLOOKUP("e",'Características dos Cabos'!$D$25:$L$29,9),"")))))</f>
        <v/>
      </c>
      <c r="T74" s="316" t="str">
        <f t="shared" si="7"/>
        <v/>
      </c>
      <c r="U74" s="317" t="str">
        <f>IF(OR(M74="a",N74="a"),VLOOKUP("a",'Características dos Cabos'!$D$25:$L$29,3),IF(OR(M74="b",M74="c",N74="b",N74="c"),VLOOKUP("b",'Características dos Cabos'!$D$25:$L$29,3),IF(OR(M74="d",M74="e",N74="d",N74="e"),VLOOKUP("c",'Características dos Cabos'!$D$25:$L$29,3),IF(OR(M74="f",M74="g",M74="h",N74="f",N74="g",N74="h"),VLOOKUP("d",'Características dos Cabos'!$D$25:$L$29,3),IF(OR(M74="i",M74="j",M74="l",M74="m",N74="i",N74="j",N74="l",N74="m"),VLOOKUP("e",'Características dos Cabos'!$D$25:$L$29,3),"")))))</f>
        <v/>
      </c>
      <c r="V74" s="318" t="str">
        <f t="shared" si="12"/>
        <v/>
      </c>
      <c r="W74" s="284"/>
      <c r="X74" s="298">
        <f t="shared" si="8"/>
        <v>0</v>
      </c>
      <c r="Y74" s="298">
        <f t="shared" si="9"/>
        <v>0</v>
      </c>
      <c r="Z74" s="284"/>
    </row>
    <row r="75" spans="1:26" ht="15" customHeight="1" thickTop="1" x14ac:dyDescent="0.25">
      <c r="A75" s="508"/>
      <c r="B75" s="510" t="str">
        <f>CONCATENATE("Ramal 4 - Derivando no ponto ",C75)</f>
        <v xml:space="preserve">Ramal 4 - Derivando no ponto </v>
      </c>
      <c r="C75" s="36"/>
      <c r="D75" s="35"/>
      <c r="E75" s="47"/>
      <c r="F75" s="102" t="str">
        <f t="shared" si="5"/>
        <v/>
      </c>
      <c r="G75" s="47"/>
      <c r="H75" s="320" t="str">
        <f>IF(AND(E75="",G75=""),"",SUM(F75:G84))</f>
        <v/>
      </c>
      <c r="J75" s="35"/>
      <c r="K75" s="35"/>
      <c r="L75" s="321" t="str">
        <f>IF(OR(J75="",K75=""),"",IF(J75="3",VLOOKUP(M75,'K% (Rede Convencional)'!$B$18:$M$29,8),(IF(J75="2",VLOOKUP(N75,'K% (Rede Convencional)'!$B$18:$M$29,9),(IF(J75="1",VLOOKUP(N75,'K% (Rede Convencional)'!$B$18:$M$29,10),(IF(J75="13",VLOOKUP(N75,'K% (Rede Convencional)'!$B$18:$M$29,11),(IF(J75="12",VLOOKUP(N75,'K% (Rede Convencional)'!$B$18:$M$29,12),0))))))))))</f>
        <v/>
      </c>
      <c r="M75" s="294" t="str">
        <f t="shared" si="6"/>
        <v/>
      </c>
      <c r="N75" s="294" t="str">
        <f>IF(K75="","",IF(K75="4 (4)","a",IF(OR(K75="2 (4)",K75="2 (2)"),VLOOKUP(K75,BT!$AE$21:$AF$22,2,FALSE),IF(OR(K75="1/0 (4)",K75="1/0 (2)"),VLOOKUP(K75,BT!$AE$24:$AF$25,2,FALSE),IF(OR(K75="4/0 (4)",K75="4/0 (2)",K75="4/0 (1/0)"),VLOOKUP(K75,BT!$AE$27:$AF$29,2,FALSE),IF(OR(K75="336,4 (4)",K75="336,4 (2)",K75="336,4 (1/0)",K75="336,4 (4/0)"),VLOOKUP(K75,BT!$AE$31:$AF$34,2,FALSE),0))))))</f>
        <v/>
      </c>
      <c r="O75" s="47"/>
      <c r="P75" s="322" t="str">
        <f t="shared" si="10"/>
        <v/>
      </c>
      <c r="Q75" s="322" t="str">
        <f>IF(P75="","",P75+VLOOKUP(C75,$D$21:$Q$43,13,FALSE))</f>
        <v/>
      </c>
      <c r="R75" s="322" t="str">
        <f t="shared" si="11"/>
        <v/>
      </c>
      <c r="S75" s="323" t="str">
        <f>IF(OR(M75="a",N75="a"),VLOOKUP("a",'Características dos Cabos'!$D$25:$L$29,9),IF(OR(M75="b",M75="c",N75="b",N75="c"),VLOOKUP("b",'Características dos Cabos'!$D$25:$L$29,9),IF(OR(M75="d",M75="e",N75="d",N75="e"),VLOOKUP("c",'Características dos Cabos'!$D$25:$L$29,9),IF(OR(M75="f",M75="g",M75="h",N75="f",N75="g",N75="h"),VLOOKUP("d",'Características dos Cabos'!$D$25:$L$29,9),IF(OR(M75="i",M75="j",M75="l",M75="m",N75="i",N75="j",N75="l",N75="m"),VLOOKUP("e",'Características dos Cabos'!$D$25:$L$29,9),"")))))</f>
        <v/>
      </c>
      <c r="T75" s="322" t="str">
        <f t="shared" si="7"/>
        <v/>
      </c>
      <c r="U75" s="323" t="str">
        <f>IF(OR(M75="a",N75="a"),VLOOKUP("a",'Características dos Cabos'!$D$25:$L$29,3),IF(OR(M75="b",M75="c",N75="b",N75="c"),VLOOKUP("b",'Características dos Cabos'!$D$25:$L$29,3),IF(OR(M75="d",M75="e",N75="d",N75="e"),VLOOKUP("c",'Características dos Cabos'!$D$25:$L$29,3),IF(OR(M75="f",M75="g",M75="h",N75="f",N75="g",N75="h"),VLOOKUP("d",'Características dos Cabos'!$D$25:$L$29,3),IF(OR(M75="i",M75="j",M75="l",M75="m",N75="i",N75="j",N75="l",N75="m"),VLOOKUP("e",'Características dos Cabos'!$D$25:$L$29,3),"")))))</f>
        <v/>
      </c>
      <c r="V75" s="324" t="str">
        <f t="shared" si="12"/>
        <v/>
      </c>
      <c r="W75" s="343" t="e">
        <f>VLOOKUP(C75,$D$21:$Q$43,13,FALSE)</f>
        <v>#N/A</v>
      </c>
      <c r="X75" s="298">
        <f t="shared" si="8"/>
        <v>0</v>
      </c>
      <c r="Y75" s="298">
        <f t="shared" si="9"/>
        <v>0</v>
      </c>
      <c r="Z75" s="284"/>
    </row>
    <row r="76" spans="1:26" ht="15" customHeight="1" x14ac:dyDescent="0.25">
      <c r="A76" s="508"/>
      <c r="B76" s="511"/>
      <c r="C76" s="37"/>
      <c r="D76" s="33"/>
      <c r="E76" s="48"/>
      <c r="F76" s="102" t="str">
        <f t="shared" si="5"/>
        <v/>
      </c>
      <c r="G76" s="48"/>
      <c r="H76" s="306" t="str">
        <f>IF(AND(E76="",G76=""),"",SUM(F76:G84))</f>
        <v/>
      </c>
      <c r="J76" s="33"/>
      <c r="K76" s="33"/>
      <c r="L76" s="307" t="str">
        <f>IF(OR(J76="",K76=""),"",IF(J76="3",VLOOKUP(M76,'K% (Rede Convencional)'!$B$18:$M$29,8),(IF(J76="2",VLOOKUP(N76,'K% (Rede Convencional)'!$B$18:$M$29,9),(IF(J76="1",VLOOKUP(N76,'K% (Rede Convencional)'!$B$18:$M$29,10),(IF(J76="13",VLOOKUP(N76,'K% (Rede Convencional)'!$B$18:$M$29,11),(IF(J76="12",VLOOKUP(N76,'K% (Rede Convencional)'!$B$18:$M$29,12),0))))))))))</f>
        <v/>
      </c>
      <c r="M76" s="308" t="str">
        <f t="shared" si="6"/>
        <v/>
      </c>
      <c r="N76" s="308" t="str">
        <f>IF(K76="","",IF(K76="4 (4)","a",IF(OR(K76="2 (4)",K76="2 (2)"),VLOOKUP(K76,BT!$AE$21:$AF$22,2,FALSE),IF(OR(K76="1/0 (4)",K76="1/0 (2)"),VLOOKUP(K76,BT!$AE$24:$AF$25,2,FALSE),IF(OR(K76="4/0 (4)",K76="4/0 (2)",K76="4/0 (1/0)"),VLOOKUP(K76,BT!$AE$27:$AF$29,2,FALSE),IF(OR(K76="336,4 (4)",K76="336,4 (2)",K76="336,4 (1/0)",K76="336,4 (4/0)"),VLOOKUP(K76,BT!$AE$31:$AF$34,2,FALSE),0))))))</f>
        <v/>
      </c>
      <c r="O76" s="48"/>
      <c r="P76" s="309" t="str">
        <f t="shared" si="10"/>
        <v/>
      </c>
      <c r="Q76" s="309" t="str">
        <f>IF(P76="","",SUM($P$45:P76)+$W$75)</f>
        <v/>
      </c>
      <c r="R76" s="309" t="str">
        <f t="shared" si="11"/>
        <v/>
      </c>
      <c r="S76" s="310" t="str">
        <f>IF(OR(M76="a",N76="a"),VLOOKUP("a",'Características dos Cabos'!$D$25:$L$29,9),IF(OR(M76="b",M76="c",N76="b",N76="c"),VLOOKUP("b",'Características dos Cabos'!$D$25:$L$29,9),IF(OR(M76="d",M76="e",N76="d",N76="e"),VLOOKUP("c",'Características dos Cabos'!$D$25:$L$29,9),IF(OR(M76="f",M76="g",M76="h",N76="f",N76="g",N76="h"),VLOOKUP("d",'Características dos Cabos'!$D$25:$L$29,9),IF(OR(M76="i",M76="j",M76="l",M76="m",N76="i",N76="j",N76="l",N76="m"),VLOOKUP("e",'Características dos Cabos'!$D$25:$L$29,9),"")))))</f>
        <v/>
      </c>
      <c r="T76" s="309" t="str">
        <f t="shared" si="7"/>
        <v/>
      </c>
      <c r="U76" s="310" t="str">
        <f>IF(OR(M76="a",N76="a"),VLOOKUP("a",'Características dos Cabos'!$D$25:$L$29,3),IF(OR(M76="b",M76="c",N76="b",N76="c"),VLOOKUP("b",'Características dos Cabos'!$D$25:$L$29,3),IF(OR(M76="d",M76="e",N76="d",N76="e"),VLOOKUP("c",'Características dos Cabos'!$D$25:$L$29,3),IF(OR(M76="f",M76="g",M76="h",N76="f",N76="g",N76="h"),VLOOKUP("d",'Características dos Cabos'!$D$25:$L$29,3),IF(OR(M76="i",M76="j",M76="l",M76="m",N76="i",N76="j",N76="l",N76="m"),VLOOKUP("e",'Características dos Cabos'!$D$25:$L$29,3),"")))))</f>
        <v/>
      </c>
      <c r="V76" s="311" t="str">
        <f t="shared" si="12"/>
        <v/>
      </c>
      <c r="W76" s="284"/>
      <c r="X76" s="298">
        <f t="shared" si="8"/>
        <v>0</v>
      </c>
      <c r="Y76" s="298">
        <f t="shared" si="9"/>
        <v>0</v>
      </c>
      <c r="Z76" s="284"/>
    </row>
    <row r="77" spans="1:26" ht="15" customHeight="1" x14ac:dyDescent="0.25">
      <c r="A77" s="508"/>
      <c r="B77" s="511"/>
      <c r="C77" s="37"/>
      <c r="D77" s="33"/>
      <c r="E77" s="48"/>
      <c r="F77" s="102" t="str">
        <f t="shared" si="5"/>
        <v/>
      </c>
      <c r="G77" s="48"/>
      <c r="H77" s="306" t="str">
        <f>IF(AND(E77="",G77=""),"",SUM(F77:G84))</f>
        <v/>
      </c>
      <c r="J77" s="33"/>
      <c r="K77" s="33"/>
      <c r="L77" s="307" t="str">
        <f>IF(OR(J77="",K77=""),"",IF(J77="3",VLOOKUP(M77,'K% (Rede Convencional)'!$B$18:$M$29,8),(IF(J77="2",VLOOKUP(N77,'K% (Rede Convencional)'!$B$18:$M$29,9),(IF(J77="1",VLOOKUP(N77,'K% (Rede Convencional)'!$B$18:$M$29,10),(IF(J77="13",VLOOKUP(N77,'K% (Rede Convencional)'!$B$18:$M$29,11),(IF(J77="12",VLOOKUP(N77,'K% (Rede Convencional)'!$B$18:$M$29,12),0))))))))))</f>
        <v/>
      </c>
      <c r="M77" s="308" t="str">
        <f t="shared" si="6"/>
        <v/>
      </c>
      <c r="N77" s="308" t="str">
        <f>IF(K77="","",IF(K77="4 (4)","a",IF(OR(K77="2 (4)",K77="2 (2)"),VLOOKUP(K77,BT!$AE$21:$AF$22,2,FALSE),IF(OR(K77="1/0 (4)",K77="1/0 (2)"),VLOOKUP(K77,BT!$AE$24:$AF$25,2,FALSE),IF(OR(K77="4/0 (4)",K77="4/0 (2)",K77="4/0 (1/0)"),VLOOKUP(K77,BT!$AE$27:$AF$29,2,FALSE),IF(OR(K77="336,4 (4)",K77="336,4 (2)",K77="336,4 (1/0)",K77="336,4 (4/0)"),VLOOKUP(K77,BT!$AE$31:$AF$34,2,FALSE),0))))))</f>
        <v/>
      </c>
      <c r="O77" s="48"/>
      <c r="P77" s="309" t="str">
        <f t="shared" ref="P77:P108" si="13">IF(OR(H77="",L77="",O77=""),"",L77*H77*O77)</f>
        <v/>
      </c>
      <c r="Q77" s="309" t="str">
        <f>IF(P77="","",SUM($P$45:P77)+$W$75)</f>
        <v/>
      </c>
      <c r="R77" s="309" t="str">
        <f t="shared" ref="R77:R108" si="14">IF(H77="","",IF(J77="3",H77*1000/($D$14*SQRT(3)),IF(J77="2",H77*1000*SQRT(3)/($D$14*2),IF(J77="1",H77*1000*SQRT(3)/$D$14,IF(J77="13",H77*1000/$D$16,IF(J77="12",H77*1000*2/$D$16,"erro"))))))</f>
        <v/>
      </c>
      <c r="S77" s="310" t="str">
        <f>IF(OR(M77="a",N77="a"),VLOOKUP("a",'Características dos Cabos'!$D$25:$L$29,9),IF(OR(M77="b",M77="c",N77="b",N77="c"),VLOOKUP("b",'Características dos Cabos'!$D$25:$L$29,9),IF(OR(M77="d",M77="e",N77="d",N77="e"),VLOOKUP("c",'Características dos Cabos'!$D$25:$L$29,9),IF(OR(M77="f",M77="g",M77="h",N77="f",N77="g",N77="h"),VLOOKUP("d",'Características dos Cabos'!$D$25:$L$29,9),IF(OR(M77="i",M77="j",M77="l",M77="m",N77="i",N77="j",N77="l",N77="m"),VLOOKUP("e",'Características dos Cabos'!$D$25:$L$29,9),"")))))</f>
        <v/>
      </c>
      <c r="T77" s="309" t="str">
        <f t="shared" si="7"/>
        <v/>
      </c>
      <c r="U77" s="310" t="str">
        <f>IF(OR(M77="a",N77="a"),VLOOKUP("a",'Características dos Cabos'!$D$25:$L$29,3),IF(OR(M77="b",M77="c",N77="b",N77="c"),VLOOKUP("b",'Características dos Cabos'!$D$25:$L$29,3),IF(OR(M77="d",M77="e",N77="d",N77="e"),VLOOKUP("c",'Características dos Cabos'!$D$25:$L$29,3),IF(OR(M77="f",M77="g",M77="h",N77="f",N77="g",N77="h"),VLOOKUP("d",'Características dos Cabos'!$D$25:$L$29,3),IF(OR(M77="i",M77="j",M77="l",M77="m",N77="i",N77="j",N77="l",N77="m"),VLOOKUP("e",'Características dos Cabos'!$D$25:$L$29,3),"")))))</f>
        <v/>
      </c>
      <c r="V77" s="311" t="str">
        <f t="shared" ref="V77:V108" si="15">IF(OR(O77="",$G$16="",H77="",N77=""),"",IF(J77="3",3*$L$12*U77*O77/1000*R77^2*8.76,IF(OR(J77="2",J77="13"),2*$L$12*U77*O77/1000*R77^2*8.76,IF(OR(J77="1",J77="12"),$L$12*U77*O77/1000*R77^2*8.76))))</f>
        <v/>
      </c>
      <c r="W77" s="284"/>
      <c r="X77" s="298">
        <f t="shared" si="8"/>
        <v>0</v>
      </c>
      <c r="Y77" s="298">
        <f t="shared" si="9"/>
        <v>0</v>
      </c>
      <c r="Z77" s="284"/>
    </row>
    <row r="78" spans="1:26" ht="15" customHeight="1" x14ac:dyDescent="0.25">
      <c r="A78" s="508"/>
      <c r="B78" s="511"/>
      <c r="C78" s="37"/>
      <c r="D78" s="33"/>
      <c r="E78" s="48"/>
      <c r="F78" s="102" t="str">
        <f t="shared" si="5"/>
        <v/>
      </c>
      <c r="G78" s="48"/>
      <c r="H78" s="306" t="str">
        <f>IF(AND(E78="",G78=""),"",SUM(F78:G84))</f>
        <v/>
      </c>
      <c r="J78" s="33"/>
      <c r="K78" s="33"/>
      <c r="L78" s="307" t="str">
        <f>IF(OR(J78="",K78=""),"",IF(J78="3",VLOOKUP(M78,'K% (Rede Convencional)'!$B$18:$M$29,8),(IF(J78="2",VLOOKUP(N78,'K% (Rede Convencional)'!$B$18:$M$29,9),(IF(J78="1",VLOOKUP(N78,'K% (Rede Convencional)'!$B$18:$M$29,10),(IF(J78="13",VLOOKUP(N78,'K% (Rede Convencional)'!$B$18:$M$29,11),(IF(J78="12",VLOOKUP(N78,'K% (Rede Convencional)'!$B$18:$M$29,12),0))))))))))</f>
        <v/>
      </c>
      <c r="M78" s="308" t="str">
        <f t="shared" si="6"/>
        <v/>
      </c>
      <c r="N78" s="308" t="str">
        <f>IF(K78="","",IF(K78="4 (4)","a",IF(OR(K78="2 (4)",K78="2 (2)"),VLOOKUP(K78,BT!$AE$21:$AF$22,2,FALSE),IF(OR(K78="1/0 (4)",K78="1/0 (2)"),VLOOKUP(K78,BT!$AE$24:$AF$25,2,FALSE),IF(OR(K78="4/0 (4)",K78="4/0 (2)",K78="4/0 (1/0)"),VLOOKUP(K78,BT!$AE$27:$AF$29,2,FALSE),IF(OR(K78="336,4 (4)",K78="336,4 (2)",K78="336,4 (1/0)",K78="336,4 (4/0)"),VLOOKUP(K78,BT!$AE$31:$AF$34,2,FALSE),0))))))</f>
        <v/>
      </c>
      <c r="O78" s="48"/>
      <c r="P78" s="309" t="str">
        <f t="shared" si="13"/>
        <v/>
      </c>
      <c r="Q78" s="309" t="str">
        <f>IF(P78="","",SUM($P$45:P78)+$W$75)</f>
        <v/>
      </c>
      <c r="R78" s="309" t="str">
        <f t="shared" si="14"/>
        <v/>
      </c>
      <c r="S78" s="310" t="str">
        <f>IF(OR(M78="a",N78="a"),VLOOKUP("a",'Características dos Cabos'!$D$25:$L$29,9),IF(OR(M78="b",M78="c",N78="b",N78="c"),VLOOKUP("b",'Características dos Cabos'!$D$25:$L$29,9),IF(OR(M78="d",M78="e",N78="d",N78="e"),VLOOKUP("c",'Características dos Cabos'!$D$25:$L$29,9),IF(OR(M78="f",M78="g",M78="h",N78="f",N78="g",N78="h"),VLOOKUP("d",'Características dos Cabos'!$D$25:$L$29,9),IF(OR(M78="i",M78="j",M78="l",M78="m",N78="i",N78="j",N78="l",N78="m"),VLOOKUP("e",'Características dos Cabos'!$D$25:$L$29,9),"")))))</f>
        <v/>
      </c>
      <c r="T78" s="309" t="str">
        <f t="shared" si="7"/>
        <v/>
      </c>
      <c r="U78" s="310" t="str">
        <f>IF(OR(M78="a",N78="a"),VLOOKUP("a",'Características dos Cabos'!$D$25:$L$29,3),IF(OR(M78="b",M78="c",N78="b",N78="c"),VLOOKUP("b",'Características dos Cabos'!$D$25:$L$29,3),IF(OR(M78="d",M78="e",N78="d",N78="e"),VLOOKUP("c",'Características dos Cabos'!$D$25:$L$29,3),IF(OR(M78="f",M78="g",M78="h",N78="f",N78="g",N78="h"),VLOOKUP("d",'Características dos Cabos'!$D$25:$L$29,3),IF(OR(M78="i",M78="j",M78="l",M78="m",N78="i",N78="j",N78="l",N78="m"),VLOOKUP("e",'Características dos Cabos'!$D$25:$L$29,3),"")))))</f>
        <v/>
      </c>
      <c r="V78" s="311" t="str">
        <f t="shared" si="15"/>
        <v/>
      </c>
      <c r="W78" s="284"/>
      <c r="X78" s="298">
        <f t="shared" si="8"/>
        <v>0</v>
      </c>
      <c r="Y78" s="298">
        <f t="shared" si="9"/>
        <v>0</v>
      </c>
      <c r="Z78" s="284"/>
    </row>
    <row r="79" spans="1:26" ht="15" customHeight="1" x14ac:dyDescent="0.25">
      <c r="A79" s="508"/>
      <c r="B79" s="511"/>
      <c r="C79" s="37"/>
      <c r="D79" s="33"/>
      <c r="E79" s="48"/>
      <c r="F79" s="102" t="str">
        <f t="shared" si="5"/>
        <v/>
      </c>
      <c r="G79" s="48"/>
      <c r="H79" s="306" t="str">
        <f>IF(AND(E79="",G79=""),"",SUM(F79:G84))</f>
        <v/>
      </c>
      <c r="J79" s="33"/>
      <c r="K79" s="33"/>
      <c r="L79" s="307" t="str">
        <f>IF(OR(J79="",K79=""),"",IF(J79="3",VLOOKUP(M79,'K% (Rede Convencional)'!$B$18:$M$29,8),(IF(J79="2",VLOOKUP(N79,'K% (Rede Convencional)'!$B$18:$M$29,9),(IF(J79="1",VLOOKUP(N79,'K% (Rede Convencional)'!$B$18:$M$29,10),(IF(J79="13",VLOOKUP(N79,'K% (Rede Convencional)'!$B$18:$M$29,11),(IF(J79="12",VLOOKUP(N79,'K% (Rede Convencional)'!$B$18:$M$29,12),0))))))))))</f>
        <v/>
      </c>
      <c r="M79" s="308" t="str">
        <f t="shared" si="6"/>
        <v/>
      </c>
      <c r="N79" s="308" t="str">
        <f>IF(K79="","",IF(K79="4 (4)","a",IF(OR(K79="2 (4)",K79="2 (2)"),VLOOKUP(K79,BT!$AE$21:$AF$22,2,FALSE),IF(OR(K79="1/0 (4)",K79="1/0 (2)"),VLOOKUP(K79,BT!$AE$24:$AF$25,2,FALSE),IF(OR(K79="4/0 (4)",K79="4/0 (2)",K79="4/0 (1/0)"),VLOOKUP(K79,BT!$AE$27:$AF$29,2,FALSE),IF(OR(K79="336,4 (4)",K79="336,4 (2)",K79="336,4 (1/0)",K79="336,4 (4/0)"),VLOOKUP(K79,BT!$AE$31:$AF$34,2,FALSE),0))))))</f>
        <v/>
      </c>
      <c r="O79" s="48"/>
      <c r="P79" s="309" t="str">
        <f t="shared" si="13"/>
        <v/>
      </c>
      <c r="Q79" s="309" t="str">
        <f>IF(P79="","",SUM($P$45:P79)+$W$75)</f>
        <v/>
      </c>
      <c r="R79" s="309" t="str">
        <f t="shared" si="14"/>
        <v/>
      </c>
      <c r="S79" s="310" t="str">
        <f>IF(OR(M79="a",N79="a"),VLOOKUP("a",'Características dos Cabos'!$D$25:$L$29,9),IF(OR(M79="b",M79="c",N79="b",N79="c"),VLOOKUP("b",'Características dos Cabos'!$D$25:$L$29,9),IF(OR(M79="d",M79="e",N79="d",N79="e"),VLOOKUP("c",'Características dos Cabos'!$D$25:$L$29,9),IF(OR(M79="f",M79="g",M79="h",N79="f",N79="g",N79="h"),VLOOKUP("d",'Características dos Cabos'!$D$25:$L$29,9),IF(OR(M79="i",M79="j",M79="l",M79="m",N79="i",N79="j",N79="l",N79="m"),VLOOKUP("e",'Características dos Cabos'!$D$25:$L$29,9),"")))))</f>
        <v/>
      </c>
      <c r="T79" s="309" t="str">
        <f t="shared" si="7"/>
        <v/>
      </c>
      <c r="U79" s="310" t="str">
        <f>IF(OR(M79="a",N79="a"),VLOOKUP("a",'Características dos Cabos'!$D$25:$L$29,3),IF(OR(M79="b",M79="c",N79="b",N79="c"),VLOOKUP("b",'Características dos Cabos'!$D$25:$L$29,3),IF(OR(M79="d",M79="e",N79="d",N79="e"),VLOOKUP("c",'Características dos Cabos'!$D$25:$L$29,3),IF(OR(M79="f",M79="g",M79="h",N79="f",N79="g",N79="h"),VLOOKUP("d",'Características dos Cabos'!$D$25:$L$29,3),IF(OR(M79="i",M79="j",M79="l",M79="m",N79="i",N79="j",N79="l",N79="m"),VLOOKUP("e",'Características dos Cabos'!$D$25:$L$29,3),"")))))</f>
        <v/>
      </c>
      <c r="V79" s="311" t="str">
        <f t="shared" si="15"/>
        <v/>
      </c>
      <c r="W79" s="284"/>
      <c r="X79" s="298">
        <f t="shared" si="8"/>
        <v>0</v>
      </c>
      <c r="Y79" s="298">
        <f t="shared" si="9"/>
        <v>0</v>
      </c>
      <c r="Z79" s="284"/>
    </row>
    <row r="80" spans="1:26" ht="15" customHeight="1" x14ac:dyDescent="0.25">
      <c r="A80" s="508"/>
      <c r="B80" s="511"/>
      <c r="C80" s="37"/>
      <c r="D80" s="33"/>
      <c r="E80" s="48"/>
      <c r="F80" s="102" t="str">
        <f t="shared" si="5"/>
        <v/>
      </c>
      <c r="G80" s="48"/>
      <c r="H80" s="306" t="str">
        <f>IF(AND(E80="",G80=""),"",SUM(F80:G84))</f>
        <v/>
      </c>
      <c r="J80" s="33"/>
      <c r="K80" s="33"/>
      <c r="L80" s="307" t="str">
        <f>IF(OR(J80="",K80=""),"",IF(J80="3",VLOOKUP(M80,'K% (Rede Convencional)'!$B$18:$M$29,8),(IF(J80="2",VLOOKUP(N80,'K% (Rede Convencional)'!$B$18:$M$29,9),(IF(J80="1",VLOOKUP(N80,'K% (Rede Convencional)'!$B$18:$M$29,10),(IF(J80="13",VLOOKUP(N80,'K% (Rede Convencional)'!$B$18:$M$29,11),(IF(J80="12",VLOOKUP(N80,'K% (Rede Convencional)'!$B$18:$M$29,12),0))))))))))</f>
        <v/>
      </c>
      <c r="M80" s="308" t="str">
        <f t="shared" si="6"/>
        <v/>
      </c>
      <c r="N80" s="308" t="str">
        <f>IF(K80="","",IF(K80="4 (4)","a",IF(OR(K80="2 (4)",K80="2 (2)"),VLOOKUP(K80,BT!$AE$21:$AF$22,2,FALSE),IF(OR(K80="1/0 (4)",K80="1/0 (2)"),VLOOKUP(K80,BT!$AE$24:$AF$25,2,FALSE),IF(OR(K80="4/0 (4)",K80="4/0 (2)",K80="4/0 (1/0)"),VLOOKUP(K80,BT!$AE$27:$AF$29,2,FALSE),IF(OR(K80="336,4 (4)",K80="336,4 (2)",K80="336,4 (1/0)",K80="336,4 (4/0)"),VLOOKUP(K80,BT!$AE$31:$AF$34,2,FALSE),0))))))</f>
        <v/>
      </c>
      <c r="O80" s="48"/>
      <c r="P80" s="309" t="str">
        <f t="shared" si="13"/>
        <v/>
      </c>
      <c r="Q80" s="309" t="str">
        <f>IF(P80="","",SUM($P$45:P80)+$W$75)</f>
        <v/>
      </c>
      <c r="R80" s="309" t="str">
        <f t="shared" si="14"/>
        <v/>
      </c>
      <c r="S80" s="310" t="str">
        <f>IF(OR(M80="a",N80="a"),VLOOKUP("a",'Características dos Cabos'!$D$25:$L$29,9),IF(OR(M80="b",M80="c",N80="b",N80="c"),VLOOKUP("b",'Características dos Cabos'!$D$25:$L$29,9),IF(OR(M80="d",M80="e",N80="d",N80="e"),VLOOKUP("c",'Características dos Cabos'!$D$25:$L$29,9),IF(OR(M80="f",M80="g",M80="h",N80="f",N80="g",N80="h"),VLOOKUP("d",'Características dos Cabos'!$D$25:$L$29,9),IF(OR(M80="i",M80="j",M80="l",M80="m",N80="i",N80="j",N80="l",N80="m"),VLOOKUP("e",'Características dos Cabos'!$D$25:$L$29,9),"")))))</f>
        <v/>
      </c>
      <c r="T80" s="309" t="str">
        <f t="shared" si="7"/>
        <v/>
      </c>
      <c r="U80" s="310" t="str">
        <f>IF(OR(M80="a",N80="a"),VLOOKUP("a",'Características dos Cabos'!$D$25:$L$29,3),IF(OR(M80="b",M80="c",N80="b",N80="c"),VLOOKUP("b",'Características dos Cabos'!$D$25:$L$29,3),IF(OR(M80="d",M80="e",N80="d",N80="e"),VLOOKUP("c",'Características dos Cabos'!$D$25:$L$29,3),IF(OR(M80="f",M80="g",M80="h",N80="f",N80="g",N80="h"),VLOOKUP("d",'Características dos Cabos'!$D$25:$L$29,3),IF(OR(M80="i",M80="j",M80="l",M80="m",N80="i",N80="j",N80="l",N80="m"),VLOOKUP("e",'Características dos Cabos'!$D$25:$L$29,3),"")))))</f>
        <v/>
      </c>
      <c r="V80" s="311" t="str">
        <f t="shared" si="15"/>
        <v/>
      </c>
      <c r="W80" s="284"/>
      <c r="X80" s="298">
        <f t="shared" si="8"/>
        <v>0</v>
      </c>
      <c r="Y80" s="298">
        <f t="shared" si="9"/>
        <v>0</v>
      </c>
      <c r="Z80" s="284"/>
    </row>
    <row r="81" spans="1:26" ht="15" customHeight="1" x14ac:dyDescent="0.25">
      <c r="A81" s="508"/>
      <c r="B81" s="511"/>
      <c r="C81" s="37"/>
      <c r="D81" s="33"/>
      <c r="E81" s="48"/>
      <c r="F81" s="102" t="str">
        <f t="shared" si="5"/>
        <v/>
      </c>
      <c r="G81" s="48"/>
      <c r="H81" s="306" t="str">
        <f>IF(AND(E81="",G81=""),"",SUM(F81:G84))</f>
        <v/>
      </c>
      <c r="J81" s="33"/>
      <c r="K81" s="33"/>
      <c r="L81" s="307" t="str">
        <f>IF(OR(J81="",K81=""),"",IF(J81="3",VLOOKUP(M81,'K% (Rede Convencional)'!$B$18:$M$29,8),(IF(J81="2",VLOOKUP(N81,'K% (Rede Convencional)'!$B$18:$M$29,9),(IF(J81="1",VLOOKUP(N81,'K% (Rede Convencional)'!$B$18:$M$29,10),(IF(J81="13",VLOOKUP(N81,'K% (Rede Convencional)'!$B$18:$M$29,11),(IF(J81="12",VLOOKUP(N81,'K% (Rede Convencional)'!$B$18:$M$29,12),0))))))))))</f>
        <v/>
      </c>
      <c r="M81" s="308" t="str">
        <f t="shared" si="6"/>
        <v/>
      </c>
      <c r="N81" s="308" t="str">
        <f>IF(K81="","",IF(K81="4 (4)","a",IF(OR(K81="2 (4)",K81="2 (2)"),VLOOKUP(K81,BT!$AE$21:$AF$22,2,FALSE),IF(OR(K81="1/0 (4)",K81="1/0 (2)"),VLOOKUP(K81,BT!$AE$24:$AF$25,2,FALSE),IF(OR(K81="4/0 (4)",K81="4/0 (2)",K81="4/0 (1/0)"),VLOOKUP(K81,BT!$AE$27:$AF$29,2,FALSE),IF(OR(K81="336,4 (4)",K81="336,4 (2)",K81="336,4 (1/0)",K81="336,4 (4/0)"),VLOOKUP(K81,BT!$AE$31:$AF$34,2,FALSE),0))))))</f>
        <v/>
      </c>
      <c r="O81" s="48"/>
      <c r="P81" s="309" t="str">
        <f t="shared" si="13"/>
        <v/>
      </c>
      <c r="Q81" s="309" t="str">
        <f>IF(P81="","",SUM($P$45:P81)+$W$75)</f>
        <v/>
      </c>
      <c r="R81" s="309" t="str">
        <f t="shared" si="14"/>
        <v/>
      </c>
      <c r="S81" s="310" t="str">
        <f>IF(OR(M81="a",N81="a"),VLOOKUP("a",'Características dos Cabos'!$D$25:$L$29,9),IF(OR(M81="b",M81="c",N81="b",N81="c"),VLOOKUP("b",'Características dos Cabos'!$D$25:$L$29,9),IF(OR(M81="d",M81="e",N81="d",N81="e"),VLOOKUP("c",'Características dos Cabos'!$D$25:$L$29,9),IF(OR(M81="f",M81="g",M81="h",N81="f",N81="g",N81="h"),VLOOKUP("d",'Características dos Cabos'!$D$25:$L$29,9),IF(OR(M81="i",M81="j",M81="l",M81="m",N81="i",N81="j",N81="l",N81="m"),VLOOKUP("e",'Características dos Cabos'!$D$25:$L$29,9),"")))))</f>
        <v/>
      </c>
      <c r="T81" s="309" t="str">
        <f t="shared" si="7"/>
        <v/>
      </c>
      <c r="U81" s="310" t="str">
        <f>IF(OR(M81="a",N81="a"),VLOOKUP("a",'Características dos Cabos'!$D$25:$L$29,3),IF(OR(M81="b",M81="c",N81="b",N81="c"),VLOOKUP("b",'Características dos Cabos'!$D$25:$L$29,3),IF(OR(M81="d",M81="e",N81="d",N81="e"),VLOOKUP("c",'Características dos Cabos'!$D$25:$L$29,3),IF(OR(M81="f",M81="g",M81="h",N81="f",N81="g",N81="h"),VLOOKUP("d",'Características dos Cabos'!$D$25:$L$29,3),IF(OR(M81="i",M81="j",M81="l",M81="m",N81="i",N81="j",N81="l",N81="m"),VLOOKUP("e",'Características dos Cabos'!$D$25:$L$29,3),"")))))</f>
        <v/>
      </c>
      <c r="V81" s="311" t="str">
        <f t="shared" si="15"/>
        <v/>
      </c>
      <c r="W81" s="284"/>
      <c r="X81" s="298">
        <f t="shared" si="8"/>
        <v>0</v>
      </c>
      <c r="Y81" s="298">
        <f t="shared" si="9"/>
        <v>0</v>
      </c>
      <c r="Z81" s="284"/>
    </row>
    <row r="82" spans="1:26" ht="15" customHeight="1" x14ac:dyDescent="0.25">
      <c r="A82" s="508"/>
      <c r="B82" s="511"/>
      <c r="C82" s="37"/>
      <c r="D82" s="33"/>
      <c r="E82" s="48"/>
      <c r="F82" s="102" t="str">
        <f t="shared" si="5"/>
        <v/>
      </c>
      <c r="G82" s="48"/>
      <c r="H82" s="306" t="str">
        <f>IF(AND(E82="",G82=""),"",SUM(F82:G84))</f>
        <v/>
      </c>
      <c r="J82" s="33"/>
      <c r="K82" s="33"/>
      <c r="L82" s="307" t="str">
        <f>IF(OR(J82="",K82=""),"",IF(J82="3",VLOOKUP(M82,'K% (Rede Convencional)'!$B$18:$M$29,8),(IF(J82="2",VLOOKUP(N82,'K% (Rede Convencional)'!$B$18:$M$29,9),(IF(J82="1",VLOOKUP(N82,'K% (Rede Convencional)'!$B$18:$M$29,10),(IF(J82="13",VLOOKUP(N82,'K% (Rede Convencional)'!$B$18:$M$29,11),(IF(J82="12",VLOOKUP(N82,'K% (Rede Convencional)'!$B$18:$M$29,12),0))))))))))</f>
        <v/>
      </c>
      <c r="M82" s="308" t="str">
        <f t="shared" si="6"/>
        <v/>
      </c>
      <c r="N82" s="308" t="str">
        <f>IF(K82="","",IF(K82="4 (4)","a",IF(OR(K82="2 (4)",K82="2 (2)"),VLOOKUP(K82,BT!$AE$21:$AF$22,2,FALSE),IF(OR(K82="1/0 (4)",K82="1/0 (2)"),VLOOKUP(K82,BT!$AE$24:$AF$25,2,FALSE),IF(OR(K82="4/0 (4)",K82="4/0 (2)",K82="4/0 (1/0)"),VLOOKUP(K82,BT!$AE$27:$AF$29,2,FALSE),IF(OR(K82="336,4 (4)",K82="336,4 (2)",K82="336,4 (1/0)",K82="336,4 (4/0)"),VLOOKUP(K82,BT!$AE$31:$AF$34,2,FALSE),0))))))</f>
        <v/>
      </c>
      <c r="O82" s="48"/>
      <c r="P82" s="309" t="str">
        <f t="shared" si="13"/>
        <v/>
      </c>
      <c r="Q82" s="309" t="str">
        <f>IF(P82="","",SUM($P$45:P82)+$W$75)</f>
        <v/>
      </c>
      <c r="R82" s="309" t="str">
        <f t="shared" si="14"/>
        <v/>
      </c>
      <c r="S82" s="310" t="str">
        <f>IF(OR(M82="a",N82="a"),VLOOKUP("a",'Características dos Cabos'!$D$25:$L$29,9),IF(OR(M82="b",M82="c",N82="b",N82="c"),VLOOKUP("b",'Características dos Cabos'!$D$25:$L$29,9),IF(OR(M82="d",M82="e",N82="d",N82="e"),VLOOKUP("c",'Características dos Cabos'!$D$25:$L$29,9),IF(OR(M82="f",M82="g",M82="h",N82="f",N82="g",N82="h"),VLOOKUP("d",'Características dos Cabos'!$D$25:$L$29,9),IF(OR(M82="i",M82="j",M82="l",M82="m",N82="i",N82="j",N82="l",N82="m"),VLOOKUP("e",'Características dos Cabos'!$D$25:$L$29,9),"")))))</f>
        <v/>
      </c>
      <c r="T82" s="309" t="str">
        <f t="shared" si="7"/>
        <v/>
      </c>
      <c r="U82" s="310" t="str">
        <f>IF(OR(M82="a",N82="a"),VLOOKUP("a",'Características dos Cabos'!$D$25:$L$29,3),IF(OR(M82="b",M82="c",N82="b",N82="c"),VLOOKUP("b",'Características dos Cabos'!$D$25:$L$29,3),IF(OR(M82="d",M82="e",N82="d",N82="e"),VLOOKUP("c",'Características dos Cabos'!$D$25:$L$29,3),IF(OR(M82="f",M82="g",M82="h",N82="f",N82="g",N82="h"),VLOOKUP("d",'Características dos Cabos'!$D$25:$L$29,3),IF(OR(M82="i",M82="j",M82="l",M82="m",N82="i",N82="j",N82="l",N82="m"),VLOOKUP("e",'Características dos Cabos'!$D$25:$L$29,3),"")))))</f>
        <v/>
      </c>
      <c r="V82" s="311" t="str">
        <f t="shared" si="15"/>
        <v/>
      </c>
      <c r="W82" s="284"/>
      <c r="X82" s="298">
        <f t="shared" si="8"/>
        <v>0</v>
      </c>
      <c r="Y82" s="298">
        <f t="shared" si="9"/>
        <v>0</v>
      </c>
      <c r="Z82" s="284"/>
    </row>
    <row r="83" spans="1:26" ht="15" customHeight="1" x14ac:dyDescent="0.25">
      <c r="A83" s="508"/>
      <c r="B83" s="511"/>
      <c r="C83" s="37"/>
      <c r="D83" s="33"/>
      <c r="E83" s="48"/>
      <c r="F83" s="102" t="str">
        <f t="shared" si="5"/>
        <v/>
      </c>
      <c r="G83" s="48"/>
      <c r="H83" s="306" t="str">
        <f>IF(AND(E83="",G83=""),"",SUM(F83:G84))</f>
        <v/>
      </c>
      <c r="J83" s="33"/>
      <c r="K83" s="33"/>
      <c r="L83" s="307" t="str">
        <f>IF(OR(J83="",K83=""),"",IF(J83="3",VLOOKUP(M83,'K% (Rede Convencional)'!$B$18:$M$29,8),(IF(J83="2",VLOOKUP(N83,'K% (Rede Convencional)'!$B$18:$M$29,9),(IF(J83="1",VLOOKUP(N83,'K% (Rede Convencional)'!$B$18:$M$29,10),(IF(J83="13",VLOOKUP(N83,'K% (Rede Convencional)'!$B$18:$M$29,11),(IF(J83="12",VLOOKUP(N83,'K% (Rede Convencional)'!$B$18:$M$29,12),0))))))))))</f>
        <v/>
      </c>
      <c r="M83" s="308" t="str">
        <f t="shared" si="6"/>
        <v/>
      </c>
      <c r="N83" s="308" t="str">
        <f>IF(K83="","",IF(K83="4 (4)","a",IF(OR(K83="2 (4)",K83="2 (2)"),VLOOKUP(K83,BT!$AE$21:$AF$22,2,FALSE),IF(OR(K83="1/0 (4)",K83="1/0 (2)"),VLOOKUP(K83,BT!$AE$24:$AF$25,2,FALSE),IF(OR(K83="4/0 (4)",K83="4/0 (2)",K83="4/0 (1/0)"),VLOOKUP(K83,BT!$AE$27:$AF$29,2,FALSE),IF(OR(K83="336,4 (4)",K83="336,4 (2)",K83="336,4 (1/0)",K83="336,4 (4/0)"),VLOOKUP(K83,BT!$AE$31:$AF$34,2,FALSE),0))))))</f>
        <v/>
      </c>
      <c r="O83" s="48"/>
      <c r="P83" s="309" t="str">
        <f t="shared" si="13"/>
        <v/>
      </c>
      <c r="Q83" s="309" t="str">
        <f>IF(P83="","",SUM($P$45:P83)+$W$75)</f>
        <v/>
      </c>
      <c r="R83" s="309" t="str">
        <f t="shared" si="14"/>
        <v/>
      </c>
      <c r="S83" s="310" t="str">
        <f>IF(OR(M83="a",N83="a"),VLOOKUP("a",'Características dos Cabos'!$D$25:$L$29,9),IF(OR(M83="b",M83="c",N83="b",N83="c"),VLOOKUP("b",'Características dos Cabos'!$D$25:$L$29,9),IF(OR(M83="d",M83="e",N83="d",N83="e"),VLOOKUP("c",'Características dos Cabos'!$D$25:$L$29,9),IF(OR(M83="f",M83="g",M83="h",N83="f",N83="g",N83="h"),VLOOKUP("d",'Características dos Cabos'!$D$25:$L$29,9),IF(OR(M83="i",M83="j",M83="l",M83="m",N83="i",N83="j",N83="l",N83="m"),VLOOKUP("e",'Características dos Cabos'!$D$25:$L$29,9),"")))))</f>
        <v/>
      </c>
      <c r="T83" s="309" t="str">
        <f t="shared" si="7"/>
        <v/>
      </c>
      <c r="U83" s="310" t="str">
        <f>IF(OR(M83="a",N83="a"),VLOOKUP("a",'Características dos Cabos'!$D$25:$L$29,3),IF(OR(M83="b",M83="c",N83="b",N83="c"),VLOOKUP("b",'Características dos Cabos'!$D$25:$L$29,3),IF(OR(M83="d",M83="e",N83="d",N83="e"),VLOOKUP("c",'Características dos Cabos'!$D$25:$L$29,3),IF(OR(M83="f",M83="g",M83="h",N83="f",N83="g",N83="h"),VLOOKUP("d",'Características dos Cabos'!$D$25:$L$29,3),IF(OR(M83="i",M83="j",M83="l",M83="m",N83="i",N83="j",N83="l",N83="m"),VLOOKUP("e",'Características dos Cabos'!$D$25:$L$29,3),"")))))</f>
        <v/>
      </c>
      <c r="V83" s="311" t="str">
        <f t="shared" si="15"/>
        <v/>
      </c>
      <c r="W83" s="284"/>
      <c r="X83" s="298">
        <f t="shared" si="8"/>
        <v>0</v>
      </c>
      <c r="Y83" s="298">
        <f t="shared" si="9"/>
        <v>0</v>
      </c>
      <c r="Z83" s="284"/>
    </row>
    <row r="84" spans="1:26" ht="15" customHeight="1" thickBot="1" x14ac:dyDescent="0.3">
      <c r="A84" s="508"/>
      <c r="B84" s="512"/>
      <c r="C84" s="55"/>
      <c r="D84" s="56"/>
      <c r="E84" s="57"/>
      <c r="F84" s="64" t="str">
        <f t="shared" si="5"/>
        <v/>
      </c>
      <c r="G84" s="57"/>
      <c r="H84" s="313" t="str">
        <f>IF(AND(E84="",G84=""),"",SUM(F84:G84))</f>
        <v/>
      </c>
      <c r="J84" s="56"/>
      <c r="K84" s="56"/>
      <c r="L84" s="314" t="str">
        <f>IF(OR(J84="",K84=""),"",IF(J84="3",VLOOKUP(M84,'K% (Rede Convencional)'!$B$18:$M$29,8),(IF(J84="2",VLOOKUP(N84,'K% (Rede Convencional)'!$B$18:$M$29,9),(IF(J84="1",VLOOKUP(N84,'K% (Rede Convencional)'!$B$18:$M$29,10),(IF(J84="13",VLOOKUP(N84,'K% (Rede Convencional)'!$B$18:$M$29,11),(IF(J84="12",VLOOKUP(N84,'K% (Rede Convencional)'!$B$18:$M$29,12),0))))))))))</f>
        <v/>
      </c>
      <c r="M84" s="315" t="str">
        <f t="shared" si="6"/>
        <v/>
      </c>
      <c r="N84" s="315" t="str">
        <f>IF(K84="","",IF(K84="4 (4)","a",IF(OR(K84="2 (4)",K84="2 (2)"),VLOOKUP(K84,BT!$AE$21:$AF$22,2,FALSE),IF(OR(K84="1/0 (4)",K84="1/0 (2)"),VLOOKUP(K84,BT!$AE$24:$AF$25,2,FALSE),IF(OR(K84="4/0 (4)",K84="4/0 (2)",K84="4/0 (1/0)"),VLOOKUP(K84,BT!$AE$27:$AF$29,2,FALSE),IF(OR(K84="336,4 (4)",K84="336,4 (2)",K84="336,4 (1/0)",K84="336,4 (4/0)"),VLOOKUP(K84,BT!$AE$31:$AF$34,2,FALSE),0))))))</f>
        <v/>
      </c>
      <c r="O84" s="57"/>
      <c r="P84" s="316" t="str">
        <f t="shared" si="13"/>
        <v/>
      </c>
      <c r="Q84" s="316" t="str">
        <f>IF(P84="","",SUM($P$45:P84)+$W$75)</f>
        <v/>
      </c>
      <c r="R84" s="316" t="str">
        <f t="shared" si="14"/>
        <v/>
      </c>
      <c r="S84" s="317" t="str">
        <f>IF(OR(M84="a",N84="a"),VLOOKUP("a",'Características dos Cabos'!$D$25:$L$29,9),IF(OR(M84="b",M84="c",N84="b",N84="c"),VLOOKUP("b",'Características dos Cabos'!$D$25:$L$29,9),IF(OR(M84="d",M84="e",N84="d",N84="e"),VLOOKUP("c",'Características dos Cabos'!$D$25:$L$29,9),IF(OR(M84="f",M84="g",M84="h",N84="f",N84="g",N84="h"),VLOOKUP("d",'Características dos Cabos'!$D$25:$L$29,9),IF(OR(M84="i",M84="j",M84="l",M84="m",N84="i",N84="j",N84="l",N84="m"),VLOOKUP("e",'Características dos Cabos'!$D$25:$L$29,9),"")))))</f>
        <v/>
      </c>
      <c r="T84" s="316" t="str">
        <f t="shared" si="7"/>
        <v/>
      </c>
      <c r="U84" s="317" t="str">
        <f>IF(OR(M84="a",N84="a"),VLOOKUP("a",'Características dos Cabos'!$D$25:$L$29,3),IF(OR(M84="b",M84="c",N84="b",N84="c"),VLOOKUP("b",'Características dos Cabos'!$D$25:$L$29,3),IF(OR(M84="d",M84="e",N84="d",N84="e"),VLOOKUP("c",'Características dos Cabos'!$D$25:$L$29,3),IF(OR(M84="f",M84="g",M84="h",N84="f",N84="g",N84="h"),VLOOKUP("d",'Características dos Cabos'!$D$25:$L$29,3),IF(OR(M84="i",M84="j",M84="l",M84="m",N84="i",N84="j",N84="l",N84="m"),VLOOKUP("e",'Características dos Cabos'!$D$25:$L$29,3),"")))))</f>
        <v/>
      </c>
      <c r="V84" s="318" t="str">
        <f t="shared" si="15"/>
        <v/>
      </c>
      <c r="W84" s="284"/>
      <c r="X84" s="298">
        <f t="shared" si="8"/>
        <v>0</v>
      </c>
      <c r="Y84" s="298">
        <f t="shared" si="9"/>
        <v>0</v>
      </c>
      <c r="Z84" s="284"/>
    </row>
    <row r="85" spans="1:26" ht="15" customHeight="1" thickTop="1" x14ac:dyDescent="0.25">
      <c r="A85" s="508"/>
      <c r="B85" s="510" t="str">
        <f>CONCATENATE("Ramal 5 - Derivando no ponto ",C85)</f>
        <v xml:space="preserve">Ramal 5 - Derivando no ponto </v>
      </c>
      <c r="C85" s="36"/>
      <c r="D85" s="35"/>
      <c r="E85" s="47"/>
      <c r="F85" s="102" t="str">
        <f t="shared" si="5"/>
        <v/>
      </c>
      <c r="G85" s="47"/>
      <c r="H85" s="320" t="str">
        <f>IF(AND(E85="",G85=""),"",SUM(F85:G94))</f>
        <v/>
      </c>
      <c r="J85" s="35"/>
      <c r="K85" s="35"/>
      <c r="L85" s="321" t="str">
        <f>IF(OR(J85="",K85=""),"",IF(J85="3",VLOOKUP(M85,'K% (Rede Convencional)'!$B$18:$M$29,8),(IF(J85="2",VLOOKUP(N85,'K% (Rede Convencional)'!$B$18:$M$29,9),(IF(J85="1",VLOOKUP(N85,'K% (Rede Convencional)'!$B$18:$M$29,10),(IF(J85="13",VLOOKUP(N85,'K% (Rede Convencional)'!$B$18:$M$29,11),(IF(J85="12",VLOOKUP(N85,'K% (Rede Convencional)'!$B$18:$M$29,12),0))))))))))</f>
        <v/>
      </c>
      <c r="M85" s="294" t="str">
        <f t="shared" si="6"/>
        <v/>
      </c>
      <c r="N85" s="294" t="str">
        <f>IF(K85="","",IF(K85="4 (4)","a",IF(OR(K85="2 (4)",K85="2 (2)"),VLOOKUP(K85,BT!$AE$21:$AF$22,2,FALSE),IF(OR(K85="1/0 (4)",K85="1/0 (2)"),VLOOKUP(K85,BT!$AE$24:$AF$25,2,FALSE),IF(OR(K85="4/0 (4)",K85="4/0 (2)",K85="4/0 (1/0)"),VLOOKUP(K85,BT!$AE$27:$AF$29,2,FALSE),IF(OR(K85="336,4 (4)",K85="336,4 (2)",K85="336,4 (1/0)",K85="336,4 (4/0)"),VLOOKUP(K85,BT!$AE$31:$AF$34,2,FALSE),0))))))</f>
        <v/>
      </c>
      <c r="O85" s="47"/>
      <c r="P85" s="322" t="str">
        <f t="shared" si="13"/>
        <v/>
      </c>
      <c r="Q85" s="322" t="str">
        <f>IF(P85="","",P85+VLOOKUP(C85,$D$21:$Q$43,13,FALSE))</f>
        <v/>
      </c>
      <c r="R85" s="322" t="str">
        <f t="shared" si="14"/>
        <v/>
      </c>
      <c r="S85" s="323" t="str">
        <f>IF(OR(M85="a",N85="a"),VLOOKUP("a",'Características dos Cabos'!$D$25:$L$29,9),IF(OR(M85="b",M85="c",N85="b",N85="c"),VLOOKUP("b",'Características dos Cabos'!$D$25:$L$29,9),IF(OR(M85="d",M85="e",N85="d",N85="e"),VLOOKUP("c",'Características dos Cabos'!$D$25:$L$29,9),IF(OR(M85="f",M85="g",M85="h",N85="f",N85="g",N85="h"),VLOOKUP("d",'Características dos Cabos'!$D$25:$L$29,9),IF(OR(M85="i",M85="j",M85="l",M85="m",N85="i",N85="j",N85="l",N85="m"),VLOOKUP("e",'Características dos Cabos'!$D$25:$L$29,9),"")))))</f>
        <v/>
      </c>
      <c r="T85" s="322" t="str">
        <f t="shared" si="7"/>
        <v/>
      </c>
      <c r="U85" s="323" t="str">
        <f>IF(OR(M85="a",N85="a"),VLOOKUP("a",'Características dos Cabos'!$D$25:$L$29,3),IF(OR(M85="b",M85="c",N85="b",N85="c"),VLOOKUP("b",'Características dos Cabos'!$D$25:$L$29,3),IF(OR(M85="d",M85="e",N85="d",N85="e"),VLOOKUP("c",'Características dos Cabos'!$D$25:$L$29,3),IF(OR(M85="f",M85="g",M85="h",N85="f",N85="g",N85="h"),VLOOKUP("d",'Características dos Cabos'!$D$25:$L$29,3),IF(OR(M85="i",M85="j",M85="l",M85="m",N85="i",N85="j",N85="l",N85="m"),VLOOKUP("e",'Características dos Cabos'!$D$25:$L$29,3),"")))))</f>
        <v/>
      </c>
      <c r="V85" s="324" t="str">
        <f t="shared" si="15"/>
        <v/>
      </c>
      <c r="W85" s="343" t="e">
        <f>VLOOKUP(C85,$D$21:$Q$43,12,FALSE)</f>
        <v>#N/A</v>
      </c>
      <c r="X85" s="298">
        <f t="shared" si="8"/>
        <v>0</v>
      </c>
      <c r="Y85" s="298">
        <f t="shared" si="9"/>
        <v>0</v>
      </c>
      <c r="Z85" s="284"/>
    </row>
    <row r="86" spans="1:26" ht="15" customHeight="1" x14ac:dyDescent="0.25">
      <c r="A86" s="508"/>
      <c r="B86" s="511"/>
      <c r="C86" s="37"/>
      <c r="D86" s="33"/>
      <c r="E86" s="48"/>
      <c r="F86" s="102" t="str">
        <f t="shared" ref="F86:F149" si="16">IF(OR(E86="",$G$12=""),"",E86*$G$12*($J$12/100+1)^($J$16-1))</f>
        <v/>
      </c>
      <c r="G86" s="48"/>
      <c r="H86" s="306" t="str">
        <f>IF(AND(E86="",G86=""),"",SUM(F86:G94))</f>
        <v/>
      </c>
      <c r="J86" s="33"/>
      <c r="K86" s="33"/>
      <c r="L86" s="307" t="str">
        <f>IF(OR(J86="",K86=""),"",IF(J86="3",VLOOKUP(M86,'K% (Rede Convencional)'!$B$18:$M$29,8),(IF(J86="2",VLOOKUP(N86,'K% (Rede Convencional)'!$B$18:$M$29,9),(IF(J86="1",VLOOKUP(N86,'K% (Rede Convencional)'!$B$18:$M$29,10),(IF(J86="13",VLOOKUP(N86,'K% (Rede Convencional)'!$B$18:$M$29,11),(IF(J86="12",VLOOKUP(N86,'K% (Rede Convencional)'!$B$18:$M$29,12),0))))))))))</f>
        <v/>
      </c>
      <c r="M86" s="308" t="str">
        <f t="shared" ref="M86:M124" si="17">IF(K86="4","a",IF(K86="2","b",IF(K86="1/0","d",IF(K86="4/0","f",IF(K86="336,4","i","")))))</f>
        <v/>
      </c>
      <c r="N86" s="308" t="str">
        <f>IF(K86="","",IF(K86="4 (4)","a",IF(OR(K86="2 (4)",K86="2 (2)"),VLOOKUP(K86,BT!$AE$21:$AF$22,2,FALSE),IF(OR(K86="1/0 (4)",K86="1/0 (2)"),VLOOKUP(K86,BT!$AE$24:$AF$25,2,FALSE),IF(OR(K86="4/0 (4)",K86="4/0 (2)",K86="4/0 (1/0)"),VLOOKUP(K86,BT!$AE$27:$AF$29,2,FALSE),IF(OR(K86="336,4 (4)",K86="336,4 (2)",K86="336,4 (1/0)",K86="336,4 (4/0)"),VLOOKUP(K86,BT!$AE$31:$AF$34,2,FALSE),0))))))</f>
        <v/>
      </c>
      <c r="O86" s="48"/>
      <c r="P86" s="309" t="str">
        <f t="shared" si="13"/>
        <v/>
      </c>
      <c r="Q86" s="309" t="str">
        <f>IF(P86="","",SUM($P$45:P86)+$W$85)</f>
        <v/>
      </c>
      <c r="R86" s="309" t="str">
        <f t="shared" si="14"/>
        <v/>
      </c>
      <c r="S86" s="310" t="str">
        <f>IF(OR(M86="a",N86="a"),VLOOKUP("a",'Características dos Cabos'!$D$25:$L$29,9),IF(OR(M86="b",M86="c",N86="b",N86="c"),VLOOKUP("b",'Características dos Cabos'!$D$25:$L$29,9),IF(OR(M86="d",M86="e",N86="d",N86="e"),VLOOKUP("c",'Características dos Cabos'!$D$25:$L$29,9),IF(OR(M86="f",M86="g",M86="h",N86="f",N86="g",N86="h"),VLOOKUP("d",'Características dos Cabos'!$D$25:$L$29,9),IF(OR(M86="i",M86="j",M86="l",M86="m",N86="i",N86="j",N86="l",N86="m"),VLOOKUP("e",'Características dos Cabos'!$D$25:$L$29,9),"")))))</f>
        <v/>
      </c>
      <c r="T86" s="309" t="str">
        <f t="shared" ref="T86:T124" si="18">IF(S86="","",R86*100/S86)</f>
        <v/>
      </c>
      <c r="U86" s="310" t="str">
        <f>IF(OR(M86="a",N86="a"),VLOOKUP("a",'Características dos Cabos'!$D$25:$L$29,3),IF(OR(M86="b",M86="c",N86="b",N86="c"),VLOOKUP("b",'Características dos Cabos'!$D$25:$L$29,3),IF(OR(M86="d",M86="e",N86="d",N86="e"),VLOOKUP("c",'Características dos Cabos'!$D$25:$L$29,3),IF(OR(M86="f",M86="g",M86="h",N86="f",N86="g",N86="h"),VLOOKUP("d",'Características dos Cabos'!$D$25:$L$29,3),IF(OR(M86="i",M86="j",M86="l",M86="m",N86="i",N86="j",N86="l",N86="m"),VLOOKUP("e",'Características dos Cabos'!$D$25:$L$29,3),"")))))</f>
        <v/>
      </c>
      <c r="V86" s="311" t="str">
        <f t="shared" si="15"/>
        <v/>
      </c>
      <c r="W86" s="284"/>
      <c r="X86" s="298">
        <f t="shared" ref="X86:X124" si="19">D86</f>
        <v>0</v>
      </c>
      <c r="Y86" s="298">
        <f t="shared" ref="Y86:Y124" si="20">K86</f>
        <v>0</v>
      </c>
      <c r="Z86" s="284"/>
    </row>
    <row r="87" spans="1:26" ht="15" customHeight="1" x14ac:dyDescent="0.25">
      <c r="A87" s="508"/>
      <c r="B87" s="511"/>
      <c r="C87" s="37"/>
      <c r="D87" s="33"/>
      <c r="E87" s="48"/>
      <c r="F87" s="102" t="str">
        <f t="shared" si="16"/>
        <v/>
      </c>
      <c r="G87" s="48"/>
      <c r="H87" s="306" t="str">
        <f>IF(AND(E87="",G87=""),"",SUM(F87:G94))</f>
        <v/>
      </c>
      <c r="J87" s="33"/>
      <c r="K87" s="33"/>
      <c r="L87" s="307" t="str">
        <f>IF(OR(J87="",K87=""),"",IF(J87="3",VLOOKUP(M87,'K% (Rede Convencional)'!$B$18:$M$29,8),(IF(J87="2",VLOOKUP(N87,'K% (Rede Convencional)'!$B$18:$M$29,9),(IF(J87="1",VLOOKUP(N87,'K% (Rede Convencional)'!$B$18:$M$29,10),(IF(J87="13",VLOOKUP(N87,'K% (Rede Convencional)'!$B$18:$M$29,11),(IF(J87="12",VLOOKUP(N87,'K% (Rede Convencional)'!$B$18:$M$29,12),0))))))))))</f>
        <v/>
      </c>
      <c r="M87" s="308" t="str">
        <f t="shared" si="17"/>
        <v/>
      </c>
      <c r="N87" s="308" t="str">
        <f>IF(K87="","",IF(K87="4 (4)","a",IF(OR(K87="2 (4)",K87="2 (2)"),VLOOKUP(K87,BT!$AE$21:$AF$22,2,FALSE),IF(OR(K87="1/0 (4)",K87="1/0 (2)"),VLOOKUP(K87,BT!$AE$24:$AF$25,2,FALSE),IF(OR(K87="4/0 (4)",K87="4/0 (2)",K87="4/0 (1/0)"),VLOOKUP(K87,BT!$AE$27:$AF$29,2,FALSE),IF(OR(K87="336,4 (4)",K87="336,4 (2)",K87="336,4 (1/0)",K87="336,4 (4/0)"),VLOOKUP(K87,BT!$AE$31:$AF$34,2,FALSE),0))))))</f>
        <v/>
      </c>
      <c r="O87" s="48"/>
      <c r="P87" s="309" t="str">
        <f t="shared" si="13"/>
        <v/>
      </c>
      <c r="Q87" s="309" t="str">
        <f>IF(P87="","",SUM($P$45:P87)+$W$85)</f>
        <v/>
      </c>
      <c r="R87" s="309" t="str">
        <f t="shared" si="14"/>
        <v/>
      </c>
      <c r="S87" s="310" t="str">
        <f>IF(OR(M87="a",N87="a"),VLOOKUP("a",'Características dos Cabos'!$D$25:$L$29,9),IF(OR(M87="b",M87="c",N87="b",N87="c"),VLOOKUP("b",'Características dos Cabos'!$D$25:$L$29,9),IF(OR(M87="d",M87="e",N87="d",N87="e"),VLOOKUP("c",'Características dos Cabos'!$D$25:$L$29,9),IF(OR(M87="f",M87="g",M87="h",N87="f",N87="g",N87="h"),VLOOKUP("d",'Características dos Cabos'!$D$25:$L$29,9),IF(OR(M87="i",M87="j",M87="l",M87="m",N87="i",N87="j",N87="l",N87="m"),VLOOKUP("e",'Características dos Cabos'!$D$25:$L$29,9),"")))))</f>
        <v/>
      </c>
      <c r="T87" s="309" t="str">
        <f t="shared" si="18"/>
        <v/>
      </c>
      <c r="U87" s="310" t="str">
        <f>IF(OR(M87="a",N87="a"),VLOOKUP("a",'Características dos Cabos'!$D$25:$L$29,3),IF(OR(M87="b",M87="c",N87="b",N87="c"),VLOOKUP("b",'Características dos Cabos'!$D$25:$L$29,3),IF(OR(M87="d",M87="e",N87="d",N87="e"),VLOOKUP("c",'Características dos Cabos'!$D$25:$L$29,3),IF(OR(M87="f",M87="g",M87="h",N87="f",N87="g",N87="h"),VLOOKUP("d",'Características dos Cabos'!$D$25:$L$29,3),IF(OR(M87="i",M87="j",M87="l",M87="m",N87="i",N87="j",N87="l",N87="m"),VLOOKUP("e",'Características dos Cabos'!$D$25:$L$29,3),"")))))</f>
        <v/>
      </c>
      <c r="V87" s="311" t="str">
        <f t="shared" si="15"/>
        <v/>
      </c>
      <c r="W87" s="284"/>
      <c r="X87" s="298">
        <f t="shared" si="19"/>
        <v>0</v>
      </c>
      <c r="Y87" s="298">
        <f t="shared" si="20"/>
        <v>0</v>
      </c>
      <c r="Z87" s="284"/>
    </row>
    <row r="88" spans="1:26" ht="15" customHeight="1" x14ac:dyDescent="0.25">
      <c r="A88" s="508"/>
      <c r="B88" s="511"/>
      <c r="C88" s="37"/>
      <c r="D88" s="33"/>
      <c r="E88" s="48"/>
      <c r="F88" s="102" t="str">
        <f t="shared" si="16"/>
        <v/>
      </c>
      <c r="G88" s="48"/>
      <c r="H88" s="306" t="str">
        <f>IF(AND(E88="",G88=""),"",SUM(F88:G94))</f>
        <v/>
      </c>
      <c r="J88" s="33"/>
      <c r="K88" s="33"/>
      <c r="L88" s="307" t="str">
        <f>IF(OR(J88="",K88=""),"",IF(J88="3",VLOOKUP(M88,'K% (Rede Convencional)'!$B$18:$M$29,8),(IF(J88="2",VLOOKUP(N88,'K% (Rede Convencional)'!$B$18:$M$29,9),(IF(J88="1",VLOOKUP(N88,'K% (Rede Convencional)'!$B$18:$M$29,10),(IF(J88="13",VLOOKUP(N88,'K% (Rede Convencional)'!$B$18:$M$29,11),(IF(J88="12",VLOOKUP(N88,'K% (Rede Convencional)'!$B$18:$M$29,12),0))))))))))</f>
        <v/>
      </c>
      <c r="M88" s="308" t="str">
        <f t="shared" si="17"/>
        <v/>
      </c>
      <c r="N88" s="308" t="str">
        <f>IF(K88="","",IF(K88="4 (4)","a",IF(OR(K88="2 (4)",K88="2 (2)"),VLOOKUP(K88,BT!$AE$21:$AF$22,2,FALSE),IF(OR(K88="1/0 (4)",K88="1/0 (2)"),VLOOKUP(K88,BT!$AE$24:$AF$25,2,FALSE),IF(OR(K88="4/0 (4)",K88="4/0 (2)",K88="4/0 (1/0)"),VLOOKUP(K88,BT!$AE$27:$AF$29,2,FALSE),IF(OR(K88="336,4 (4)",K88="336,4 (2)",K88="336,4 (1/0)",K88="336,4 (4/0)"),VLOOKUP(K88,BT!$AE$31:$AF$34,2,FALSE),0))))))</f>
        <v/>
      </c>
      <c r="O88" s="48"/>
      <c r="P88" s="309" t="str">
        <f t="shared" si="13"/>
        <v/>
      </c>
      <c r="Q88" s="309" t="str">
        <f>IF(P88="","",SUM($P$45:P88)+$W$85)</f>
        <v/>
      </c>
      <c r="R88" s="309" t="str">
        <f t="shared" si="14"/>
        <v/>
      </c>
      <c r="S88" s="310" t="str">
        <f>IF(OR(M88="a",N88="a"),VLOOKUP("a",'Características dos Cabos'!$D$25:$L$29,9),IF(OR(M88="b",M88="c",N88="b",N88="c"),VLOOKUP("b",'Características dos Cabos'!$D$25:$L$29,9),IF(OR(M88="d",M88="e",N88="d",N88="e"),VLOOKUP("c",'Características dos Cabos'!$D$25:$L$29,9),IF(OR(M88="f",M88="g",M88="h",N88="f",N88="g",N88="h"),VLOOKUP("d",'Características dos Cabos'!$D$25:$L$29,9),IF(OR(M88="i",M88="j",M88="l",M88="m",N88="i",N88="j",N88="l",N88="m"),VLOOKUP("e",'Características dos Cabos'!$D$25:$L$29,9),"")))))</f>
        <v/>
      </c>
      <c r="T88" s="309" t="str">
        <f t="shared" si="18"/>
        <v/>
      </c>
      <c r="U88" s="310" t="str">
        <f>IF(OR(M88="a",N88="a"),VLOOKUP("a",'Características dos Cabos'!$D$25:$L$29,3),IF(OR(M88="b",M88="c",N88="b",N88="c"),VLOOKUP("b",'Características dos Cabos'!$D$25:$L$29,3),IF(OR(M88="d",M88="e",N88="d",N88="e"),VLOOKUP("c",'Características dos Cabos'!$D$25:$L$29,3),IF(OR(M88="f",M88="g",M88="h",N88="f",N88="g",N88="h"),VLOOKUP("d",'Características dos Cabos'!$D$25:$L$29,3),IF(OR(M88="i",M88="j",M88="l",M88="m",N88="i",N88="j",N88="l",N88="m"),VLOOKUP("e",'Características dos Cabos'!$D$25:$L$29,3),"")))))</f>
        <v/>
      </c>
      <c r="V88" s="311" t="str">
        <f t="shared" si="15"/>
        <v/>
      </c>
      <c r="W88" s="284"/>
      <c r="X88" s="298">
        <f t="shared" si="19"/>
        <v>0</v>
      </c>
      <c r="Y88" s="298">
        <f t="shared" si="20"/>
        <v>0</v>
      </c>
      <c r="Z88" s="284"/>
    </row>
    <row r="89" spans="1:26" ht="15" customHeight="1" x14ac:dyDescent="0.25">
      <c r="A89" s="508"/>
      <c r="B89" s="511"/>
      <c r="C89" s="37"/>
      <c r="D89" s="33"/>
      <c r="E89" s="48"/>
      <c r="F89" s="102" t="str">
        <f t="shared" si="16"/>
        <v/>
      </c>
      <c r="G89" s="48"/>
      <c r="H89" s="306" t="str">
        <f>IF(AND(E89="",G89=""),"",SUM(F89:G94))</f>
        <v/>
      </c>
      <c r="J89" s="33"/>
      <c r="K89" s="33"/>
      <c r="L89" s="307" t="str">
        <f>IF(OR(J89="",K89=""),"",IF(J89="3",VLOOKUP(M89,'K% (Rede Convencional)'!$B$18:$M$29,8),(IF(J89="2",VLOOKUP(N89,'K% (Rede Convencional)'!$B$18:$M$29,9),(IF(J89="1",VLOOKUP(N89,'K% (Rede Convencional)'!$B$18:$M$29,10),(IF(J89="13",VLOOKUP(N89,'K% (Rede Convencional)'!$B$18:$M$29,11),(IF(J89="12",VLOOKUP(N89,'K% (Rede Convencional)'!$B$18:$M$29,12),0))))))))))</f>
        <v/>
      </c>
      <c r="M89" s="308" t="str">
        <f t="shared" si="17"/>
        <v/>
      </c>
      <c r="N89" s="308" t="str">
        <f>IF(K89="","",IF(K89="4 (4)","a",IF(OR(K89="2 (4)",K89="2 (2)"),VLOOKUP(K89,BT!$AE$21:$AF$22,2,FALSE),IF(OR(K89="1/0 (4)",K89="1/0 (2)"),VLOOKUP(K89,BT!$AE$24:$AF$25,2,FALSE),IF(OR(K89="4/0 (4)",K89="4/0 (2)",K89="4/0 (1/0)"),VLOOKUP(K89,BT!$AE$27:$AF$29,2,FALSE),IF(OR(K89="336,4 (4)",K89="336,4 (2)",K89="336,4 (1/0)",K89="336,4 (4/0)"),VLOOKUP(K89,BT!$AE$31:$AF$34,2,FALSE),0))))))</f>
        <v/>
      </c>
      <c r="O89" s="48"/>
      <c r="P89" s="309" t="str">
        <f t="shared" si="13"/>
        <v/>
      </c>
      <c r="Q89" s="309" t="str">
        <f>IF(P89="","",SUM($P$45:P89)+$W$85)</f>
        <v/>
      </c>
      <c r="R89" s="309" t="str">
        <f t="shared" si="14"/>
        <v/>
      </c>
      <c r="S89" s="310" t="str">
        <f>IF(OR(M89="a",N89="a"),VLOOKUP("a",'Características dos Cabos'!$D$25:$L$29,9),IF(OR(M89="b",M89="c",N89="b",N89="c"),VLOOKUP("b",'Características dos Cabos'!$D$25:$L$29,9),IF(OR(M89="d",M89="e",N89="d",N89="e"),VLOOKUP("c",'Características dos Cabos'!$D$25:$L$29,9),IF(OR(M89="f",M89="g",M89="h",N89="f",N89="g",N89="h"),VLOOKUP("d",'Características dos Cabos'!$D$25:$L$29,9),IF(OR(M89="i",M89="j",M89="l",M89="m",N89="i",N89="j",N89="l",N89="m"),VLOOKUP("e",'Características dos Cabos'!$D$25:$L$29,9),"")))))</f>
        <v/>
      </c>
      <c r="T89" s="309" t="str">
        <f t="shared" si="18"/>
        <v/>
      </c>
      <c r="U89" s="310" t="str">
        <f>IF(OR(M89="a",N89="a"),VLOOKUP("a",'Características dos Cabos'!$D$25:$L$29,3),IF(OR(M89="b",M89="c",N89="b",N89="c"),VLOOKUP("b",'Características dos Cabos'!$D$25:$L$29,3),IF(OR(M89="d",M89="e",N89="d",N89="e"),VLOOKUP("c",'Características dos Cabos'!$D$25:$L$29,3),IF(OR(M89="f",M89="g",M89="h",N89="f",N89="g",N89="h"),VLOOKUP("d",'Características dos Cabos'!$D$25:$L$29,3),IF(OR(M89="i",M89="j",M89="l",M89="m",N89="i",N89="j",N89="l",N89="m"),VLOOKUP("e",'Características dos Cabos'!$D$25:$L$29,3),"")))))</f>
        <v/>
      </c>
      <c r="V89" s="311" t="str">
        <f t="shared" si="15"/>
        <v/>
      </c>
      <c r="W89" s="284"/>
      <c r="X89" s="298">
        <f t="shared" si="19"/>
        <v>0</v>
      </c>
      <c r="Y89" s="298">
        <f t="shared" si="20"/>
        <v>0</v>
      </c>
      <c r="Z89" s="284"/>
    </row>
    <row r="90" spans="1:26" ht="15" customHeight="1" x14ac:dyDescent="0.25">
      <c r="A90" s="508"/>
      <c r="B90" s="511"/>
      <c r="C90" s="37"/>
      <c r="D90" s="33"/>
      <c r="E90" s="48"/>
      <c r="F90" s="102" t="str">
        <f t="shared" si="16"/>
        <v/>
      </c>
      <c r="G90" s="48"/>
      <c r="H90" s="306" t="str">
        <f>IF(AND(E90="",G90=""),"",SUM(F90:G94))</f>
        <v/>
      </c>
      <c r="J90" s="33"/>
      <c r="K90" s="33"/>
      <c r="L90" s="307" t="str">
        <f>IF(OR(J90="",K90=""),"",IF(J90="3",VLOOKUP(M90,'K% (Rede Convencional)'!$B$18:$M$29,8),(IF(J90="2",VLOOKUP(N90,'K% (Rede Convencional)'!$B$18:$M$29,9),(IF(J90="1",VLOOKUP(N90,'K% (Rede Convencional)'!$B$18:$M$29,10),(IF(J90="13",VLOOKUP(N90,'K% (Rede Convencional)'!$B$18:$M$29,11),(IF(J90="12",VLOOKUP(N90,'K% (Rede Convencional)'!$B$18:$M$29,12),0))))))))))</f>
        <v/>
      </c>
      <c r="M90" s="308" t="str">
        <f t="shared" si="17"/>
        <v/>
      </c>
      <c r="N90" s="308" t="str">
        <f>IF(K90="","",IF(K90="4 (4)","a",IF(OR(K90="2 (4)",K90="2 (2)"),VLOOKUP(K90,BT!$AE$21:$AF$22,2,FALSE),IF(OR(K90="1/0 (4)",K90="1/0 (2)"),VLOOKUP(K90,BT!$AE$24:$AF$25,2,FALSE),IF(OR(K90="4/0 (4)",K90="4/0 (2)",K90="4/0 (1/0)"),VLOOKUP(K90,BT!$AE$27:$AF$29,2,FALSE),IF(OR(K90="336,4 (4)",K90="336,4 (2)",K90="336,4 (1/0)",K90="336,4 (4/0)"),VLOOKUP(K90,BT!$AE$31:$AF$34,2,FALSE),0))))))</f>
        <v/>
      </c>
      <c r="O90" s="48"/>
      <c r="P90" s="309" t="str">
        <f t="shared" si="13"/>
        <v/>
      </c>
      <c r="Q90" s="309" t="str">
        <f>IF(P90="","",SUM($P$45:P90)+$W$85)</f>
        <v/>
      </c>
      <c r="R90" s="309" t="str">
        <f t="shared" si="14"/>
        <v/>
      </c>
      <c r="S90" s="310" t="str">
        <f>IF(OR(M90="a",N90="a"),VLOOKUP("a",'Características dos Cabos'!$D$25:$L$29,9),IF(OR(M90="b",M90="c",N90="b",N90="c"),VLOOKUP("b",'Características dos Cabos'!$D$25:$L$29,9),IF(OR(M90="d",M90="e",N90="d",N90="e"),VLOOKUP("c",'Características dos Cabos'!$D$25:$L$29,9),IF(OR(M90="f",M90="g",M90="h",N90="f",N90="g",N90="h"),VLOOKUP("d",'Características dos Cabos'!$D$25:$L$29,9),IF(OR(M90="i",M90="j",M90="l",M90="m",N90="i",N90="j",N90="l",N90="m"),VLOOKUP("e",'Características dos Cabos'!$D$25:$L$29,9),"")))))</f>
        <v/>
      </c>
      <c r="T90" s="309" t="str">
        <f t="shared" si="18"/>
        <v/>
      </c>
      <c r="U90" s="310" t="str">
        <f>IF(OR(M90="a",N90="a"),VLOOKUP("a",'Características dos Cabos'!$D$25:$L$29,3),IF(OR(M90="b",M90="c",N90="b",N90="c"),VLOOKUP("b",'Características dos Cabos'!$D$25:$L$29,3),IF(OR(M90="d",M90="e",N90="d",N90="e"),VLOOKUP("c",'Características dos Cabos'!$D$25:$L$29,3),IF(OR(M90="f",M90="g",M90="h",N90="f",N90="g",N90="h"),VLOOKUP("d",'Características dos Cabos'!$D$25:$L$29,3),IF(OR(M90="i",M90="j",M90="l",M90="m",N90="i",N90="j",N90="l",N90="m"),VLOOKUP("e",'Características dos Cabos'!$D$25:$L$29,3),"")))))</f>
        <v/>
      </c>
      <c r="V90" s="311" t="str">
        <f t="shared" si="15"/>
        <v/>
      </c>
      <c r="W90" s="284"/>
      <c r="X90" s="298">
        <f t="shared" si="19"/>
        <v>0</v>
      </c>
      <c r="Y90" s="298">
        <f t="shared" si="20"/>
        <v>0</v>
      </c>
      <c r="Z90" s="284"/>
    </row>
    <row r="91" spans="1:26" ht="15" customHeight="1" x14ac:dyDescent="0.25">
      <c r="A91" s="508"/>
      <c r="B91" s="511"/>
      <c r="C91" s="37"/>
      <c r="D91" s="33"/>
      <c r="E91" s="48"/>
      <c r="F91" s="102" t="str">
        <f t="shared" si="16"/>
        <v/>
      </c>
      <c r="G91" s="48"/>
      <c r="H91" s="306" t="str">
        <f>IF(AND(E91="",G91=""),"",SUM(F91:G94))</f>
        <v/>
      </c>
      <c r="J91" s="33"/>
      <c r="K91" s="33"/>
      <c r="L91" s="307" t="str">
        <f>IF(OR(J91="",K91=""),"",IF(J91="3",VLOOKUP(M91,'K% (Rede Convencional)'!$B$18:$M$29,8),(IF(J91="2",VLOOKUP(N91,'K% (Rede Convencional)'!$B$18:$M$29,9),(IF(J91="1",VLOOKUP(N91,'K% (Rede Convencional)'!$B$18:$M$29,10),(IF(J91="13",VLOOKUP(N91,'K% (Rede Convencional)'!$B$18:$M$29,11),(IF(J91="12",VLOOKUP(N91,'K% (Rede Convencional)'!$B$18:$M$29,12),0))))))))))</f>
        <v/>
      </c>
      <c r="M91" s="308" t="str">
        <f t="shared" si="17"/>
        <v/>
      </c>
      <c r="N91" s="308" t="str">
        <f>IF(K91="","",IF(K91="4 (4)","a",IF(OR(K91="2 (4)",K91="2 (2)"),VLOOKUP(K91,BT!$AE$21:$AF$22,2,FALSE),IF(OR(K91="1/0 (4)",K91="1/0 (2)"),VLOOKUP(K91,BT!$AE$24:$AF$25,2,FALSE),IF(OR(K91="4/0 (4)",K91="4/0 (2)",K91="4/0 (1/0)"),VLOOKUP(K91,BT!$AE$27:$AF$29,2,FALSE),IF(OR(K91="336,4 (4)",K91="336,4 (2)",K91="336,4 (1/0)",K91="336,4 (4/0)"),VLOOKUP(K91,BT!$AE$31:$AF$34,2,FALSE),0))))))</f>
        <v/>
      </c>
      <c r="O91" s="48"/>
      <c r="P91" s="309" t="str">
        <f t="shared" si="13"/>
        <v/>
      </c>
      <c r="Q91" s="309" t="str">
        <f>IF(P91="","",SUM($P$45:P91)+$W$85)</f>
        <v/>
      </c>
      <c r="R91" s="309" t="str">
        <f t="shared" si="14"/>
        <v/>
      </c>
      <c r="S91" s="310" t="str">
        <f>IF(OR(M91="a",N91="a"),VLOOKUP("a",'Características dos Cabos'!$D$25:$L$29,9),IF(OR(M91="b",M91="c",N91="b",N91="c"),VLOOKUP("b",'Características dos Cabos'!$D$25:$L$29,9),IF(OR(M91="d",M91="e",N91="d",N91="e"),VLOOKUP("c",'Características dos Cabos'!$D$25:$L$29,9),IF(OR(M91="f",M91="g",M91="h",N91="f",N91="g",N91="h"),VLOOKUP("d",'Características dos Cabos'!$D$25:$L$29,9),IF(OR(M91="i",M91="j",M91="l",M91="m",N91="i",N91="j",N91="l",N91="m"),VLOOKUP("e",'Características dos Cabos'!$D$25:$L$29,9),"")))))</f>
        <v/>
      </c>
      <c r="T91" s="309" t="str">
        <f t="shared" si="18"/>
        <v/>
      </c>
      <c r="U91" s="310" t="str">
        <f>IF(OR(M91="a",N91="a"),VLOOKUP("a",'Características dos Cabos'!$D$25:$L$29,3),IF(OR(M91="b",M91="c",N91="b",N91="c"),VLOOKUP("b",'Características dos Cabos'!$D$25:$L$29,3),IF(OR(M91="d",M91="e",N91="d",N91="e"),VLOOKUP("c",'Características dos Cabos'!$D$25:$L$29,3),IF(OR(M91="f",M91="g",M91="h",N91="f",N91="g",N91="h"),VLOOKUP("d",'Características dos Cabos'!$D$25:$L$29,3),IF(OR(M91="i",M91="j",M91="l",M91="m",N91="i",N91="j",N91="l",N91="m"),VLOOKUP("e",'Características dos Cabos'!$D$25:$L$29,3),"")))))</f>
        <v/>
      </c>
      <c r="V91" s="311" t="str">
        <f t="shared" si="15"/>
        <v/>
      </c>
      <c r="W91" s="284"/>
      <c r="X91" s="298">
        <f t="shared" si="19"/>
        <v>0</v>
      </c>
      <c r="Y91" s="298">
        <f t="shared" si="20"/>
        <v>0</v>
      </c>
      <c r="Z91" s="284"/>
    </row>
    <row r="92" spans="1:26" ht="15" customHeight="1" x14ac:dyDescent="0.25">
      <c r="A92" s="508"/>
      <c r="B92" s="511"/>
      <c r="C92" s="37"/>
      <c r="D92" s="33"/>
      <c r="E92" s="48"/>
      <c r="F92" s="102" t="str">
        <f t="shared" si="16"/>
        <v/>
      </c>
      <c r="G92" s="48"/>
      <c r="H92" s="306" t="str">
        <f>IF(AND(E92="",G92=""),"",SUM(F92:G94))</f>
        <v/>
      </c>
      <c r="J92" s="33"/>
      <c r="K92" s="33"/>
      <c r="L92" s="307" t="str">
        <f>IF(OR(J92="",K92=""),"",IF(J92="3",VLOOKUP(M92,'K% (Rede Convencional)'!$B$18:$M$29,8),(IF(J92="2",VLOOKUP(N92,'K% (Rede Convencional)'!$B$18:$M$29,9),(IF(J92="1",VLOOKUP(N92,'K% (Rede Convencional)'!$B$18:$M$29,10),(IF(J92="13",VLOOKUP(N92,'K% (Rede Convencional)'!$B$18:$M$29,11),(IF(J92="12",VLOOKUP(N92,'K% (Rede Convencional)'!$B$18:$M$29,12),0))))))))))</f>
        <v/>
      </c>
      <c r="M92" s="308" t="str">
        <f t="shared" si="17"/>
        <v/>
      </c>
      <c r="N92" s="308" t="str">
        <f>IF(K92="","",IF(K92="4 (4)","a",IF(OR(K92="2 (4)",K92="2 (2)"),VLOOKUP(K92,BT!$AE$21:$AF$22,2,FALSE),IF(OR(K92="1/0 (4)",K92="1/0 (2)"),VLOOKUP(K92,BT!$AE$24:$AF$25,2,FALSE),IF(OR(K92="4/0 (4)",K92="4/0 (2)",K92="4/0 (1/0)"),VLOOKUP(K92,BT!$AE$27:$AF$29,2,FALSE),IF(OR(K92="336,4 (4)",K92="336,4 (2)",K92="336,4 (1/0)",K92="336,4 (4/0)"),VLOOKUP(K92,BT!$AE$31:$AF$34,2,FALSE),0))))))</f>
        <v/>
      </c>
      <c r="O92" s="48"/>
      <c r="P92" s="309" t="str">
        <f t="shared" si="13"/>
        <v/>
      </c>
      <c r="Q92" s="309" t="str">
        <f>IF(P92="","",SUM($P$45:P92)+$W$85)</f>
        <v/>
      </c>
      <c r="R92" s="309" t="str">
        <f t="shared" si="14"/>
        <v/>
      </c>
      <c r="S92" s="310" t="str">
        <f>IF(OR(M92="a",N92="a"),VLOOKUP("a",'Características dos Cabos'!$D$25:$L$29,9),IF(OR(M92="b",M92="c",N92="b",N92="c"),VLOOKUP("b",'Características dos Cabos'!$D$25:$L$29,9),IF(OR(M92="d",M92="e",N92="d",N92="e"),VLOOKUP("c",'Características dos Cabos'!$D$25:$L$29,9),IF(OR(M92="f",M92="g",M92="h",N92="f",N92="g",N92="h"),VLOOKUP("d",'Características dos Cabos'!$D$25:$L$29,9),IF(OR(M92="i",M92="j",M92="l",M92="m",N92="i",N92="j",N92="l",N92="m"),VLOOKUP("e",'Características dos Cabos'!$D$25:$L$29,9),"")))))</f>
        <v/>
      </c>
      <c r="T92" s="309" t="str">
        <f t="shared" si="18"/>
        <v/>
      </c>
      <c r="U92" s="310" t="str">
        <f>IF(OR(M92="a",N92="a"),VLOOKUP("a",'Características dos Cabos'!$D$25:$L$29,3),IF(OR(M92="b",M92="c",N92="b",N92="c"),VLOOKUP("b",'Características dos Cabos'!$D$25:$L$29,3),IF(OR(M92="d",M92="e",N92="d",N92="e"),VLOOKUP("c",'Características dos Cabos'!$D$25:$L$29,3),IF(OR(M92="f",M92="g",M92="h",N92="f",N92="g",N92="h"),VLOOKUP("d",'Características dos Cabos'!$D$25:$L$29,3),IF(OR(M92="i",M92="j",M92="l",M92="m",N92="i",N92="j",N92="l",N92="m"),VLOOKUP("e",'Características dos Cabos'!$D$25:$L$29,3),"")))))</f>
        <v/>
      </c>
      <c r="V92" s="311" t="str">
        <f t="shared" si="15"/>
        <v/>
      </c>
      <c r="W92" s="284"/>
      <c r="X92" s="298">
        <f t="shared" si="19"/>
        <v>0</v>
      </c>
      <c r="Y92" s="298">
        <f t="shared" si="20"/>
        <v>0</v>
      </c>
      <c r="Z92" s="284"/>
    </row>
    <row r="93" spans="1:26" ht="15" customHeight="1" x14ac:dyDescent="0.25">
      <c r="A93" s="508"/>
      <c r="B93" s="511"/>
      <c r="C93" s="37"/>
      <c r="D93" s="33"/>
      <c r="E93" s="48"/>
      <c r="F93" s="102" t="str">
        <f t="shared" si="16"/>
        <v/>
      </c>
      <c r="G93" s="48"/>
      <c r="H93" s="306" t="str">
        <f>IF(AND(E93="",G93=""),"",SUM(F93:G94))</f>
        <v/>
      </c>
      <c r="J93" s="33"/>
      <c r="K93" s="33"/>
      <c r="L93" s="307" t="str">
        <f>IF(OR(J93="",K93=""),"",IF(J93="3",VLOOKUP(M93,'K% (Rede Convencional)'!$B$18:$M$29,8),(IF(J93="2",VLOOKUP(N93,'K% (Rede Convencional)'!$B$18:$M$29,9),(IF(J93="1",VLOOKUP(N93,'K% (Rede Convencional)'!$B$18:$M$29,10),(IF(J93="13",VLOOKUP(N93,'K% (Rede Convencional)'!$B$18:$M$29,11),(IF(J93="12",VLOOKUP(N93,'K% (Rede Convencional)'!$B$18:$M$29,12),0))))))))))</f>
        <v/>
      </c>
      <c r="M93" s="308" t="str">
        <f t="shared" si="17"/>
        <v/>
      </c>
      <c r="N93" s="308" t="str">
        <f>IF(K93="","",IF(K93="4 (4)","a",IF(OR(K93="2 (4)",K93="2 (2)"),VLOOKUP(K93,BT!$AE$21:$AF$22,2,FALSE),IF(OR(K93="1/0 (4)",K93="1/0 (2)"),VLOOKUP(K93,BT!$AE$24:$AF$25,2,FALSE),IF(OR(K93="4/0 (4)",K93="4/0 (2)",K93="4/0 (1/0)"),VLOOKUP(K93,BT!$AE$27:$AF$29,2,FALSE),IF(OR(K93="336,4 (4)",K93="336,4 (2)",K93="336,4 (1/0)",K93="336,4 (4/0)"),VLOOKUP(K93,BT!$AE$31:$AF$34,2,FALSE),0))))))</f>
        <v/>
      </c>
      <c r="O93" s="48"/>
      <c r="P93" s="309" t="str">
        <f t="shared" si="13"/>
        <v/>
      </c>
      <c r="Q93" s="309" t="str">
        <f>IF(P93="","",SUM($P$45:P93)+$W$85)</f>
        <v/>
      </c>
      <c r="R93" s="309" t="str">
        <f t="shared" si="14"/>
        <v/>
      </c>
      <c r="S93" s="310" t="str">
        <f>IF(OR(M93="a",N93="a"),VLOOKUP("a",'Características dos Cabos'!$D$25:$L$29,9),IF(OR(M93="b",M93="c",N93="b",N93="c"),VLOOKUP("b",'Características dos Cabos'!$D$25:$L$29,9),IF(OR(M93="d",M93="e",N93="d",N93="e"),VLOOKUP("c",'Características dos Cabos'!$D$25:$L$29,9),IF(OR(M93="f",M93="g",M93="h",N93="f",N93="g",N93="h"),VLOOKUP("d",'Características dos Cabos'!$D$25:$L$29,9),IF(OR(M93="i",M93="j",M93="l",M93="m",N93="i",N93="j",N93="l",N93="m"),VLOOKUP("e",'Características dos Cabos'!$D$25:$L$29,9),"")))))</f>
        <v/>
      </c>
      <c r="T93" s="309" t="str">
        <f t="shared" si="18"/>
        <v/>
      </c>
      <c r="U93" s="310" t="str">
        <f>IF(OR(M93="a",N93="a"),VLOOKUP("a",'Características dos Cabos'!$D$25:$L$29,3),IF(OR(M93="b",M93="c",N93="b",N93="c"),VLOOKUP("b",'Características dos Cabos'!$D$25:$L$29,3),IF(OR(M93="d",M93="e",N93="d",N93="e"),VLOOKUP("c",'Características dos Cabos'!$D$25:$L$29,3),IF(OR(M93="f",M93="g",M93="h",N93="f",N93="g",N93="h"),VLOOKUP("d",'Características dos Cabos'!$D$25:$L$29,3),IF(OR(M93="i",M93="j",M93="l",M93="m",N93="i",N93="j",N93="l",N93="m"),VLOOKUP("e",'Características dos Cabos'!$D$25:$L$29,3),"")))))</f>
        <v/>
      </c>
      <c r="V93" s="311" t="str">
        <f t="shared" si="15"/>
        <v/>
      </c>
      <c r="W93" s="284"/>
      <c r="X93" s="298">
        <f t="shared" si="19"/>
        <v>0</v>
      </c>
      <c r="Y93" s="298">
        <f t="shared" si="20"/>
        <v>0</v>
      </c>
      <c r="Z93" s="284"/>
    </row>
    <row r="94" spans="1:26" ht="15" customHeight="1" thickBot="1" x14ac:dyDescent="0.3">
      <c r="A94" s="508"/>
      <c r="B94" s="512"/>
      <c r="C94" s="55"/>
      <c r="D94" s="56"/>
      <c r="E94" s="57"/>
      <c r="F94" s="64" t="str">
        <f t="shared" si="16"/>
        <v/>
      </c>
      <c r="G94" s="57"/>
      <c r="H94" s="313" t="str">
        <f>IF(AND(E94="",G94=""),"",SUM(F94:G94))</f>
        <v/>
      </c>
      <c r="J94" s="56"/>
      <c r="K94" s="56"/>
      <c r="L94" s="314" t="str">
        <f>IF(OR(J94="",K94=""),"",IF(J94="3",VLOOKUP(M94,'K% (Rede Convencional)'!$B$18:$M$29,8),(IF(J94="2",VLOOKUP(N94,'K% (Rede Convencional)'!$B$18:$M$29,9),(IF(J94="1",VLOOKUP(N94,'K% (Rede Convencional)'!$B$18:$M$29,10),(IF(J94="13",VLOOKUP(N94,'K% (Rede Convencional)'!$B$18:$M$29,11),(IF(J94="12",VLOOKUP(N94,'K% (Rede Convencional)'!$B$18:$M$29,12),0))))))))))</f>
        <v/>
      </c>
      <c r="M94" s="315" t="str">
        <f t="shared" si="17"/>
        <v/>
      </c>
      <c r="N94" s="315" t="str">
        <f>IF(K94="","",IF(K94="4 (4)","a",IF(OR(K94="2 (4)",K94="2 (2)"),VLOOKUP(K94,BT!$AE$21:$AF$22,2,FALSE),IF(OR(K94="1/0 (4)",K94="1/0 (2)"),VLOOKUP(K94,BT!$AE$24:$AF$25,2,FALSE),IF(OR(K94="4/0 (4)",K94="4/0 (2)",K94="4/0 (1/0)"),VLOOKUP(K94,BT!$AE$27:$AF$29,2,FALSE),IF(OR(K94="336,4 (4)",K94="336,4 (2)",K94="336,4 (1/0)",K94="336,4 (4/0)"),VLOOKUP(K94,BT!$AE$31:$AF$34,2,FALSE),0))))))</f>
        <v/>
      </c>
      <c r="O94" s="57"/>
      <c r="P94" s="316" t="str">
        <f t="shared" si="13"/>
        <v/>
      </c>
      <c r="Q94" s="316" t="str">
        <f>IF(P94="","",SUM($P$45:P94)+$W$85)</f>
        <v/>
      </c>
      <c r="R94" s="316" t="str">
        <f t="shared" si="14"/>
        <v/>
      </c>
      <c r="S94" s="317" t="str">
        <f>IF(OR(M94="a",N94="a"),VLOOKUP("a",'Características dos Cabos'!$D$25:$L$29,9),IF(OR(M94="b",M94="c",N94="b",N94="c"),VLOOKUP("b",'Características dos Cabos'!$D$25:$L$29,9),IF(OR(M94="d",M94="e",N94="d",N94="e"),VLOOKUP("c",'Características dos Cabos'!$D$25:$L$29,9),IF(OR(M94="f",M94="g",M94="h",N94="f",N94="g",N94="h"),VLOOKUP("d",'Características dos Cabos'!$D$25:$L$29,9),IF(OR(M94="i",M94="j",M94="l",M94="m",N94="i",N94="j",N94="l",N94="m"),VLOOKUP("e",'Características dos Cabos'!$D$25:$L$29,9),"")))))</f>
        <v/>
      </c>
      <c r="T94" s="316" t="str">
        <f t="shared" si="18"/>
        <v/>
      </c>
      <c r="U94" s="317" t="str">
        <f>IF(OR(M94="a",N94="a"),VLOOKUP("a",'Características dos Cabos'!$D$25:$L$29,3),IF(OR(M94="b",M94="c",N94="b",N94="c"),VLOOKUP("b",'Características dos Cabos'!$D$25:$L$29,3),IF(OR(M94="d",M94="e",N94="d",N94="e"),VLOOKUP("c",'Características dos Cabos'!$D$25:$L$29,3),IF(OR(M94="f",M94="g",M94="h",N94="f",N94="g",N94="h"),VLOOKUP("d",'Características dos Cabos'!$D$25:$L$29,3),IF(OR(M94="i",M94="j",M94="l",M94="m",N94="i",N94="j",N94="l",N94="m"),VLOOKUP("e",'Características dos Cabos'!$D$25:$L$29,3),"")))))</f>
        <v/>
      </c>
      <c r="V94" s="318" t="str">
        <f t="shared" si="15"/>
        <v/>
      </c>
      <c r="W94" s="284"/>
      <c r="X94" s="298">
        <f t="shared" si="19"/>
        <v>0</v>
      </c>
      <c r="Y94" s="298">
        <f t="shared" si="20"/>
        <v>0</v>
      </c>
      <c r="Z94" s="284"/>
    </row>
    <row r="95" spans="1:26" ht="15" customHeight="1" thickTop="1" x14ac:dyDescent="0.25">
      <c r="A95" s="508"/>
      <c r="B95" s="510" t="str">
        <f>CONCATENATE("Ramal 6 - Derivando no ponto ",C95)</f>
        <v xml:space="preserve">Ramal 6 - Derivando no ponto </v>
      </c>
      <c r="C95" s="36"/>
      <c r="D95" s="35"/>
      <c r="E95" s="47"/>
      <c r="F95" s="102" t="str">
        <f t="shared" si="16"/>
        <v/>
      </c>
      <c r="G95" s="47"/>
      <c r="H95" s="320" t="str">
        <f>IF(AND(E95="",G95=""),"",SUM(F95:G104))</f>
        <v/>
      </c>
      <c r="J95" s="35"/>
      <c r="K95" s="35"/>
      <c r="L95" s="321" t="str">
        <f>IF(OR(J95="",K95=""),"",IF(J95="3",VLOOKUP(M95,'K% (Rede Convencional)'!$B$18:$M$29,8),(IF(J95="2",VLOOKUP(N95,'K% (Rede Convencional)'!$B$18:$M$29,9),(IF(J95="1",VLOOKUP(N95,'K% (Rede Convencional)'!$B$18:$M$29,10),(IF(J95="13",VLOOKUP(N95,'K% (Rede Convencional)'!$B$18:$M$29,11),(IF(J95="12",VLOOKUP(N95,'K% (Rede Convencional)'!$B$18:$M$29,12),0))))))))))</f>
        <v/>
      </c>
      <c r="M95" s="294" t="str">
        <f t="shared" si="17"/>
        <v/>
      </c>
      <c r="N95" s="294" t="str">
        <f>IF(K95="","",IF(K95="4 (4)","a",IF(OR(K95="2 (4)",K95="2 (2)"),VLOOKUP(K95,BT!$AE$21:$AF$22,2,FALSE),IF(OR(K95="1/0 (4)",K95="1/0 (2)"),VLOOKUP(K95,BT!$AE$24:$AF$25,2,FALSE),IF(OR(K95="4/0 (4)",K95="4/0 (2)",K95="4/0 (1/0)"),VLOOKUP(K95,BT!$AE$27:$AF$29,2,FALSE),IF(OR(K95="336,4 (4)",K95="336,4 (2)",K95="336,4 (1/0)",K95="336,4 (4/0)"),VLOOKUP(K95,BT!$AE$31:$AF$34,2,FALSE),0))))))</f>
        <v/>
      </c>
      <c r="O95" s="47"/>
      <c r="P95" s="322" t="str">
        <f t="shared" si="13"/>
        <v/>
      </c>
      <c r="Q95" s="322" t="str">
        <f>IF(P95="","",P95+VLOOKUP(C95,$D$21:$Q$43,13,FALSE))</f>
        <v/>
      </c>
      <c r="R95" s="322" t="str">
        <f t="shared" si="14"/>
        <v/>
      </c>
      <c r="S95" s="323" t="str">
        <f>IF(OR(M95="a",N95="a"),VLOOKUP("a",'Características dos Cabos'!$D$25:$L$29,9),IF(OR(M95="b",M95="c",N95="b",N95="c"),VLOOKUP("b",'Características dos Cabos'!$D$25:$L$29,9),IF(OR(M95="d",M95="e",N95="d",N95="e"),VLOOKUP("c",'Características dos Cabos'!$D$25:$L$29,9),IF(OR(M95="f",M95="g",M95="h",N95="f",N95="g",N95="h"),VLOOKUP("d",'Características dos Cabos'!$D$25:$L$29,9),IF(OR(M95="i",M95="j",M95="l",M95="m",N95="i",N95="j",N95="l",N95="m"),VLOOKUP("e",'Características dos Cabos'!$D$25:$L$29,9),"")))))</f>
        <v/>
      </c>
      <c r="T95" s="322" t="str">
        <f t="shared" si="18"/>
        <v/>
      </c>
      <c r="U95" s="323" t="str">
        <f>IF(OR(M95="a",N95="a"),VLOOKUP("a",'Características dos Cabos'!$D$25:$L$29,3),IF(OR(M95="b",M95="c",N95="b",N95="c"),VLOOKUP("b",'Características dos Cabos'!$D$25:$L$29,3),IF(OR(M95="d",M95="e",N95="d",N95="e"),VLOOKUP("c",'Características dos Cabos'!$D$25:$L$29,3),IF(OR(M95="f",M95="g",M95="h",N95="f",N95="g",N95="h"),VLOOKUP("d",'Características dos Cabos'!$D$25:$L$29,3),IF(OR(M95="i",M95="j",M95="l",M95="m",N95="i",N95="j",N95="l",N95="m"),VLOOKUP("e",'Características dos Cabos'!$D$25:$L$29,3),"")))))</f>
        <v/>
      </c>
      <c r="V95" s="324" t="str">
        <f t="shared" si="15"/>
        <v/>
      </c>
      <c r="W95" s="343" t="e">
        <f>VLOOKUP(C95,$D$21:$Q$43,12,FALSE)</f>
        <v>#N/A</v>
      </c>
      <c r="X95" s="298">
        <f t="shared" si="19"/>
        <v>0</v>
      </c>
      <c r="Y95" s="298">
        <f t="shared" si="20"/>
        <v>0</v>
      </c>
      <c r="Z95" s="284"/>
    </row>
    <row r="96" spans="1:26" ht="15" customHeight="1" x14ac:dyDescent="0.25">
      <c r="A96" s="508"/>
      <c r="B96" s="511"/>
      <c r="C96" s="37"/>
      <c r="D96" s="33"/>
      <c r="E96" s="48"/>
      <c r="F96" s="102" t="str">
        <f t="shared" si="16"/>
        <v/>
      </c>
      <c r="G96" s="48"/>
      <c r="H96" s="306" t="str">
        <f>IF(AND(E96="",G96=""),"",SUM(F96:G104))</f>
        <v/>
      </c>
      <c r="J96" s="33"/>
      <c r="K96" s="33"/>
      <c r="L96" s="307" t="str">
        <f>IF(OR(J96="",K96=""),"",IF(J96="3",VLOOKUP(M96,'K% (Rede Convencional)'!$B$18:$M$29,8),(IF(J96="2",VLOOKUP(N96,'K% (Rede Convencional)'!$B$18:$M$29,9),(IF(J96="1",VLOOKUP(N96,'K% (Rede Convencional)'!$B$18:$M$29,10),(IF(J96="13",VLOOKUP(N96,'K% (Rede Convencional)'!$B$18:$M$29,11),(IF(J96="12",VLOOKUP(N96,'K% (Rede Convencional)'!$B$18:$M$29,12),0))))))))))</f>
        <v/>
      </c>
      <c r="M96" s="308" t="str">
        <f t="shared" si="17"/>
        <v/>
      </c>
      <c r="N96" s="308" t="str">
        <f>IF(K96="","",IF(K96="4 (4)","a",IF(OR(K96="2 (4)",K96="2 (2)"),VLOOKUP(K96,BT!$AE$21:$AF$22,2,FALSE),IF(OR(K96="1/0 (4)",K96="1/0 (2)"),VLOOKUP(K96,BT!$AE$24:$AF$25,2,FALSE),IF(OR(K96="4/0 (4)",K96="4/0 (2)",K96="4/0 (1/0)"),VLOOKUP(K96,BT!$AE$27:$AF$29,2,FALSE),IF(OR(K96="336,4 (4)",K96="336,4 (2)",K96="336,4 (1/0)",K96="336,4 (4/0)"),VLOOKUP(K96,BT!$AE$31:$AF$34,2,FALSE),0))))))</f>
        <v/>
      </c>
      <c r="O96" s="48"/>
      <c r="P96" s="309" t="str">
        <f t="shared" si="13"/>
        <v/>
      </c>
      <c r="Q96" s="309" t="str">
        <f>IF(P96="","",SUM($P$45:P96)+$W$95)</f>
        <v/>
      </c>
      <c r="R96" s="309" t="str">
        <f t="shared" si="14"/>
        <v/>
      </c>
      <c r="S96" s="310" t="str">
        <f>IF(OR(M96="a",N96="a"),VLOOKUP("a",'Características dos Cabos'!$D$25:$L$29,9),IF(OR(M96="b",M96="c",N96="b",N96="c"),VLOOKUP("b",'Características dos Cabos'!$D$25:$L$29,9),IF(OR(M96="d",M96="e",N96="d",N96="e"),VLOOKUP("c",'Características dos Cabos'!$D$25:$L$29,9),IF(OR(M96="f",M96="g",M96="h",N96="f",N96="g",N96="h"),VLOOKUP("d",'Características dos Cabos'!$D$25:$L$29,9),IF(OR(M96="i",M96="j",M96="l",M96="m",N96="i",N96="j",N96="l",N96="m"),VLOOKUP("e",'Características dos Cabos'!$D$25:$L$29,9),"")))))</f>
        <v/>
      </c>
      <c r="T96" s="309" t="str">
        <f t="shared" si="18"/>
        <v/>
      </c>
      <c r="U96" s="310" t="str">
        <f>IF(OR(M96="a",N96="a"),VLOOKUP("a",'Características dos Cabos'!$D$25:$L$29,3),IF(OR(M96="b",M96="c",N96="b",N96="c"),VLOOKUP("b",'Características dos Cabos'!$D$25:$L$29,3),IF(OR(M96="d",M96="e",N96="d",N96="e"),VLOOKUP("c",'Características dos Cabos'!$D$25:$L$29,3),IF(OR(M96="f",M96="g",M96="h",N96="f",N96="g",N96="h"),VLOOKUP("d",'Características dos Cabos'!$D$25:$L$29,3),IF(OR(M96="i",M96="j",M96="l",M96="m",N96="i",N96="j",N96="l",N96="m"),VLOOKUP("e",'Características dos Cabos'!$D$25:$L$29,3),"")))))</f>
        <v/>
      </c>
      <c r="V96" s="311" t="str">
        <f t="shared" si="15"/>
        <v/>
      </c>
      <c r="W96" s="284"/>
      <c r="X96" s="298">
        <f t="shared" si="19"/>
        <v>0</v>
      </c>
      <c r="Y96" s="298">
        <f t="shared" si="20"/>
        <v>0</v>
      </c>
      <c r="Z96" s="284"/>
    </row>
    <row r="97" spans="1:26" ht="15" customHeight="1" x14ac:dyDescent="0.25">
      <c r="A97" s="508"/>
      <c r="B97" s="511"/>
      <c r="C97" s="37"/>
      <c r="D97" s="33"/>
      <c r="E97" s="48"/>
      <c r="F97" s="102" t="str">
        <f t="shared" si="16"/>
        <v/>
      </c>
      <c r="G97" s="48"/>
      <c r="H97" s="306" t="str">
        <f>IF(AND(E97="",G97=""),"",SUM(F97:G104))</f>
        <v/>
      </c>
      <c r="J97" s="33"/>
      <c r="K97" s="33"/>
      <c r="L97" s="307" t="str">
        <f>IF(OR(J97="",K97=""),"",IF(J97="3",VLOOKUP(M97,'K% (Rede Convencional)'!$B$18:$M$29,8),(IF(J97="2",VLOOKUP(N97,'K% (Rede Convencional)'!$B$18:$M$29,9),(IF(J97="1",VLOOKUP(N97,'K% (Rede Convencional)'!$B$18:$M$29,10),(IF(J97="13",VLOOKUP(N97,'K% (Rede Convencional)'!$B$18:$M$29,11),(IF(J97="12",VLOOKUP(N97,'K% (Rede Convencional)'!$B$18:$M$29,12),0))))))))))</f>
        <v/>
      </c>
      <c r="M97" s="308" t="str">
        <f t="shared" si="17"/>
        <v/>
      </c>
      <c r="N97" s="308" t="str">
        <f>IF(K97="","",IF(K97="4 (4)","a",IF(OR(K97="2 (4)",K97="2 (2)"),VLOOKUP(K97,BT!$AE$21:$AF$22,2,FALSE),IF(OR(K97="1/0 (4)",K97="1/0 (2)"),VLOOKUP(K97,BT!$AE$24:$AF$25,2,FALSE),IF(OR(K97="4/0 (4)",K97="4/0 (2)",K97="4/0 (1/0)"),VLOOKUP(K97,BT!$AE$27:$AF$29,2,FALSE),IF(OR(K97="336,4 (4)",K97="336,4 (2)",K97="336,4 (1/0)",K97="336,4 (4/0)"),VLOOKUP(K97,BT!$AE$31:$AF$34,2,FALSE),0))))))</f>
        <v/>
      </c>
      <c r="O97" s="48"/>
      <c r="P97" s="309" t="str">
        <f t="shared" si="13"/>
        <v/>
      </c>
      <c r="Q97" s="309" t="str">
        <f>IF(P97="","",SUM($P$45:P97)+$W$95)</f>
        <v/>
      </c>
      <c r="R97" s="309" t="str">
        <f t="shared" si="14"/>
        <v/>
      </c>
      <c r="S97" s="310" t="str">
        <f>IF(OR(M97="a",N97="a"),VLOOKUP("a",'Características dos Cabos'!$D$25:$L$29,9),IF(OR(M97="b",M97="c",N97="b",N97="c"),VLOOKUP("b",'Características dos Cabos'!$D$25:$L$29,9),IF(OR(M97="d",M97="e",N97="d",N97="e"),VLOOKUP("c",'Características dos Cabos'!$D$25:$L$29,9),IF(OR(M97="f",M97="g",M97="h",N97="f",N97="g",N97="h"),VLOOKUP("d",'Características dos Cabos'!$D$25:$L$29,9),IF(OR(M97="i",M97="j",M97="l",M97="m",N97="i",N97="j",N97="l",N97="m"),VLOOKUP("e",'Características dos Cabos'!$D$25:$L$29,9),"")))))</f>
        <v/>
      </c>
      <c r="T97" s="309" t="str">
        <f t="shared" si="18"/>
        <v/>
      </c>
      <c r="U97" s="310" t="str">
        <f>IF(OR(M97="a",N97="a"),VLOOKUP("a",'Características dos Cabos'!$D$25:$L$29,3),IF(OR(M97="b",M97="c",N97="b",N97="c"),VLOOKUP("b",'Características dos Cabos'!$D$25:$L$29,3),IF(OR(M97="d",M97="e",N97="d",N97="e"),VLOOKUP("c",'Características dos Cabos'!$D$25:$L$29,3),IF(OR(M97="f",M97="g",M97="h",N97="f",N97="g",N97="h"),VLOOKUP("d",'Características dos Cabos'!$D$25:$L$29,3),IF(OR(M97="i",M97="j",M97="l",M97="m",N97="i",N97="j",N97="l",N97="m"),VLOOKUP("e",'Características dos Cabos'!$D$25:$L$29,3),"")))))</f>
        <v/>
      </c>
      <c r="V97" s="311" t="str">
        <f t="shared" si="15"/>
        <v/>
      </c>
      <c r="W97" s="284"/>
      <c r="X97" s="298">
        <f t="shared" si="19"/>
        <v>0</v>
      </c>
      <c r="Y97" s="298">
        <f t="shared" si="20"/>
        <v>0</v>
      </c>
      <c r="Z97" s="284"/>
    </row>
    <row r="98" spans="1:26" ht="15" customHeight="1" x14ac:dyDescent="0.25">
      <c r="A98" s="508"/>
      <c r="B98" s="511"/>
      <c r="C98" s="37"/>
      <c r="D98" s="33"/>
      <c r="E98" s="48"/>
      <c r="F98" s="102" t="str">
        <f t="shared" si="16"/>
        <v/>
      </c>
      <c r="G98" s="48"/>
      <c r="H98" s="306" t="str">
        <f>IF(AND(E98="",G98=""),"",SUM(F98:G104))</f>
        <v/>
      </c>
      <c r="J98" s="33"/>
      <c r="K98" s="33"/>
      <c r="L98" s="307" t="str">
        <f>IF(OR(J98="",K98=""),"",IF(J98="3",VLOOKUP(M98,'K% (Rede Convencional)'!$B$18:$M$29,8),(IF(J98="2",VLOOKUP(N98,'K% (Rede Convencional)'!$B$18:$M$29,9),(IF(J98="1",VLOOKUP(N98,'K% (Rede Convencional)'!$B$18:$M$29,10),(IF(J98="13",VLOOKUP(N98,'K% (Rede Convencional)'!$B$18:$M$29,11),(IF(J98="12",VLOOKUP(N98,'K% (Rede Convencional)'!$B$18:$M$29,12),0))))))))))</f>
        <v/>
      </c>
      <c r="M98" s="308" t="str">
        <f t="shared" si="17"/>
        <v/>
      </c>
      <c r="N98" s="308" t="str">
        <f>IF(K98="","",IF(K98="4 (4)","a",IF(OR(K98="2 (4)",K98="2 (2)"),VLOOKUP(K98,BT!$AE$21:$AF$22,2,FALSE),IF(OR(K98="1/0 (4)",K98="1/0 (2)"),VLOOKUP(K98,BT!$AE$24:$AF$25,2,FALSE),IF(OR(K98="4/0 (4)",K98="4/0 (2)",K98="4/0 (1/0)"),VLOOKUP(K98,BT!$AE$27:$AF$29,2,FALSE),IF(OR(K98="336,4 (4)",K98="336,4 (2)",K98="336,4 (1/0)",K98="336,4 (4/0)"),VLOOKUP(K98,BT!$AE$31:$AF$34,2,FALSE),0))))))</f>
        <v/>
      </c>
      <c r="O98" s="48"/>
      <c r="P98" s="309" t="str">
        <f t="shared" si="13"/>
        <v/>
      </c>
      <c r="Q98" s="309" t="str">
        <f>IF(P98="","",SUM($P$45:P98)+$W$95)</f>
        <v/>
      </c>
      <c r="R98" s="309" t="str">
        <f t="shared" si="14"/>
        <v/>
      </c>
      <c r="S98" s="310" t="str">
        <f>IF(OR(M98="a",N98="a"),VLOOKUP("a",'Características dos Cabos'!$D$25:$L$29,9),IF(OR(M98="b",M98="c",N98="b",N98="c"),VLOOKUP("b",'Características dos Cabos'!$D$25:$L$29,9),IF(OR(M98="d",M98="e",N98="d",N98="e"),VLOOKUP("c",'Características dos Cabos'!$D$25:$L$29,9),IF(OR(M98="f",M98="g",M98="h",N98="f",N98="g",N98="h"),VLOOKUP("d",'Características dos Cabos'!$D$25:$L$29,9),IF(OR(M98="i",M98="j",M98="l",M98="m",N98="i",N98="j",N98="l",N98="m"),VLOOKUP("e",'Características dos Cabos'!$D$25:$L$29,9),"")))))</f>
        <v/>
      </c>
      <c r="T98" s="309" t="str">
        <f t="shared" si="18"/>
        <v/>
      </c>
      <c r="U98" s="310" t="str">
        <f>IF(OR(M98="a",N98="a"),VLOOKUP("a",'Características dos Cabos'!$D$25:$L$29,3),IF(OR(M98="b",M98="c",N98="b",N98="c"),VLOOKUP("b",'Características dos Cabos'!$D$25:$L$29,3),IF(OR(M98="d",M98="e",N98="d",N98="e"),VLOOKUP("c",'Características dos Cabos'!$D$25:$L$29,3),IF(OR(M98="f",M98="g",M98="h",N98="f",N98="g",N98="h"),VLOOKUP("d",'Características dos Cabos'!$D$25:$L$29,3),IF(OR(M98="i",M98="j",M98="l",M98="m",N98="i",N98="j",N98="l",N98="m"),VLOOKUP("e",'Características dos Cabos'!$D$25:$L$29,3),"")))))</f>
        <v/>
      </c>
      <c r="V98" s="311" t="str">
        <f t="shared" si="15"/>
        <v/>
      </c>
      <c r="W98" s="284"/>
      <c r="X98" s="298">
        <f t="shared" si="19"/>
        <v>0</v>
      </c>
      <c r="Y98" s="298">
        <f t="shared" si="20"/>
        <v>0</v>
      </c>
      <c r="Z98" s="284"/>
    </row>
    <row r="99" spans="1:26" ht="15" customHeight="1" x14ac:dyDescent="0.25">
      <c r="A99" s="508"/>
      <c r="B99" s="511"/>
      <c r="C99" s="37"/>
      <c r="D99" s="33"/>
      <c r="E99" s="48"/>
      <c r="F99" s="102" t="str">
        <f t="shared" si="16"/>
        <v/>
      </c>
      <c r="G99" s="48"/>
      <c r="H99" s="306" t="str">
        <f>IF(AND(E99="",G99=""),"",SUM(F99:G104))</f>
        <v/>
      </c>
      <c r="J99" s="33"/>
      <c r="K99" s="33"/>
      <c r="L99" s="307" t="str">
        <f>IF(OR(J99="",K99=""),"",IF(J99="3",VLOOKUP(M99,'K% (Rede Convencional)'!$B$18:$M$29,8),(IF(J99="2",VLOOKUP(N99,'K% (Rede Convencional)'!$B$18:$M$29,9),(IF(J99="1",VLOOKUP(N99,'K% (Rede Convencional)'!$B$18:$M$29,10),(IF(J99="13",VLOOKUP(N99,'K% (Rede Convencional)'!$B$18:$M$29,11),(IF(J99="12",VLOOKUP(N99,'K% (Rede Convencional)'!$B$18:$M$29,12),0))))))))))</f>
        <v/>
      </c>
      <c r="M99" s="308" t="str">
        <f t="shared" si="17"/>
        <v/>
      </c>
      <c r="N99" s="308" t="str">
        <f>IF(K99="","",IF(K99="4 (4)","a",IF(OR(K99="2 (4)",K99="2 (2)"),VLOOKUP(K99,BT!$AE$21:$AF$22,2,FALSE),IF(OR(K99="1/0 (4)",K99="1/0 (2)"),VLOOKUP(K99,BT!$AE$24:$AF$25,2,FALSE),IF(OR(K99="4/0 (4)",K99="4/0 (2)",K99="4/0 (1/0)"),VLOOKUP(K99,BT!$AE$27:$AF$29,2,FALSE),IF(OR(K99="336,4 (4)",K99="336,4 (2)",K99="336,4 (1/0)",K99="336,4 (4/0)"),VLOOKUP(K99,BT!$AE$31:$AF$34,2,FALSE),0))))))</f>
        <v/>
      </c>
      <c r="O99" s="48"/>
      <c r="P99" s="309" t="str">
        <f t="shared" si="13"/>
        <v/>
      </c>
      <c r="Q99" s="309" t="str">
        <f>IF(P99="","",SUM($P$45:P99)+$W$95)</f>
        <v/>
      </c>
      <c r="R99" s="309" t="str">
        <f t="shared" si="14"/>
        <v/>
      </c>
      <c r="S99" s="310" t="str">
        <f>IF(OR(M99="a",N99="a"),VLOOKUP("a",'Características dos Cabos'!$D$25:$L$29,9),IF(OR(M99="b",M99="c",N99="b",N99="c"),VLOOKUP("b",'Características dos Cabos'!$D$25:$L$29,9),IF(OR(M99="d",M99="e",N99="d",N99="e"),VLOOKUP("c",'Características dos Cabos'!$D$25:$L$29,9),IF(OR(M99="f",M99="g",M99="h",N99="f",N99="g",N99="h"),VLOOKUP("d",'Características dos Cabos'!$D$25:$L$29,9),IF(OR(M99="i",M99="j",M99="l",M99="m",N99="i",N99="j",N99="l",N99="m"),VLOOKUP("e",'Características dos Cabos'!$D$25:$L$29,9),"")))))</f>
        <v/>
      </c>
      <c r="T99" s="309" t="str">
        <f t="shared" si="18"/>
        <v/>
      </c>
      <c r="U99" s="310" t="str">
        <f>IF(OR(M99="a",N99="a"),VLOOKUP("a",'Características dos Cabos'!$D$25:$L$29,3),IF(OR(M99="b",M99="c",N99="b",N99="c"),VLOOKUP("b",'Características dos Cabos'!$D$25:$L$29,3),IF(OR(M99="d",M99="e",N99="d",N99="e"),VLOOKUP("c",'Características dos Cabos'!$D$25:$L$29,3),IF(OR(M99="f",M99="g",M99="h",N99="f",N99="g",N99="h"),VLOOKUP("d",'Características dos Cabos'!$D$25:$L$29,3),IF(OR(M99="i",M99="j",M99="l",M99="m",N99="i",N99="j",N99="l",N99="m"),VLOOKUP("e",'Características dos Cabos'!$D$25:$L$29,3),"")))))</f>
        <v/>
      </c>
      <c r="V99" s="311" t="str">
        <f t="shared" si="15"/>
        <v/>
      </c>
      <c r="W99" s="284"/>
      <c r="X99" s="298">
        <f t="shared" si="19"/>
        <v>0</v>
      </c>
      <c r="Y99" s="298">
        <f t="shared" si="20"/>
        <v>0</v>
      </c>
      <c r="Z99" s="284"/>
    </row>
    <row r="100" spans="1:26" ht="15" customHeight="1" x14ac:dyDescent="0.25">
      <c r="A100" s="508"/>
      <c r="B100" s="511"/>
      <c r="C100" s="37"/>
      <c r="D100" s="33"/>
      <c r="E100" s="48"/>
      <c r="F100" s="102" t="str">
        <f t="shared" si="16"/>
        <v/>
      </c>
      <c r="G100" s="48"/>
      <c r="H100" s="306" t="str">
        <f>IF(AND(E100="",G100=""),"",SUM(F100:G104))</f>
        <v/>
      </c>
      <c r="J100" s="33"/>
      <c r="K100" s="33"/>
      <c r="L100" s="307" t="str">
        <f>IF(OR(J100="",K100=""),"",IF(J100="3",VLOOKUP(M100,'K% (Rede Convencional)'!$B$18:$M$29,8),(IF(J100="2",VLOOKUP(N100,'K% (Rede Convencional)'!$B$18:$M$29,9),(IF(J100="1",VLOOKUP(N100,'K% (Rede Convencional)'!$B$18:$M$29,10),(IF(J100="13",VLOOKUP(N100,'K% (Rede Convencional)'!$B$18:$M$29,11),(IF(J100="12",VLOOKUP(N100,'K% (Rede Convencional)'!$B$18:$M$29,12),0))))))))))</f>
        <v/>
      </c>
      <c r="M100" s="308" t="str">
        <f t="shared" si="17"/>
        <v/>
      </c>
      <c r="N100" s="308" t="str">
        <f>IF(K100="","",IF(K100="4 (4)","a",IF(OR(K100="2 (4)",K100="2 (2)"),VLOOKUP(K100,BT!$AE$21:$AF$22,2,FALSE),IF(OR(K100="1/0 (4)",K100="1/0 (2)"),VLOOKUP(K100,BT!$AE$24:$AF$25,2,FALSE),IF(OR(K100="4/0 (4)",K100="4/0 (2)",K100="4/0 (1/0)"),VLOOKUP(K100,BT!$AE$27:$AF$29,2,FALSE),IF(OR(K100="336,4 (4)",K100="336,4 (2)",K100="336,4 (1/0)",K100="336,4 (4/0)"),VLOOKUP(K100,BT!$AE$31:$AF$34,2,FALSE),0))))))</f>
        <v/>
      </c>
      <c r="O100" s="48"/>
      <c r="P100" s="309" t="str">
        <f t="shared" si="13"/>
        <v/>
      </c>
      <c r="Q100" s="309" t="str">
        <f>IF(P100="","",SUM($P$45:P100)+$W$95)</f>
        <v/>
      </c>
      <c r="R100" s="309" t="str">
        <f t="shared" si="14"/>
        <v/>
      </c>
      <c r="S100" s="310" t="str">
        <f>IF(OR(M100="a",N100="a"),VLOOKUP("a",'Características dos Cabos'!$D$25:$L$29,9),IF(OR(M100="b",M100="c",N100="b",N100="c"),VLOOKUP("b",'Características dos Cabos'!$D$25:$L$29,9),IF(OR(M100="d",M100="e",N100="d",N100="e"),VLOOKUP("c",'Características dos Cabos'!$D$25:$L$29,9),IF(OR(M100="f",M100="g",M100="h",N100="f",N100="g",N100="h"),VLOOKUP("d",'Características dos Cabos'!$D$25:$L$29,9),IF(OR(M100="i",M100="j",M100="l",M100="m",N100="i",N100="j",N100="l",N100="m"),VLOOKUP("e",'Características dos Cabos'!$D$25:$L$29,9),"")))))</f>
        <v/>
      </c>
      <c r="T100" s="309" t="str">
        <f t="shared" si="18"/>
        <v/>
      </c>
      <c r="U100" s="310" t="str">
        <f>IF(OR(M100="a",N100="a"),VLOOKUP("a",'Características dos Cabos'!$D$25:$L$29,3),IF(OR(M100="b",M100="c",N100="b",N100="c"),VLOOKUP("b",'Características dos Cabos'!$D$25:$L$29,3),IF(OR(M100="d",M100="e",N100="d",N100="e"),VLOOKUP("c",'Características dos Cabos'!$D$25:$L$29,3),IF(OR(M100="f",M100="g",M100="h",N100="f",N100="g",N100="h"),VLOOKUP("d",'Características dos Cabos'!$D$25:$L$29,3),IF(OR(M100="i",M100="j",M100="l",M100="m",N100="i",N100="j",N100="l",N100="m"),VLOOKUP("e",'Características dos Cabos'!$D$25:$L$29,3),"")))))</f>
        <v/>
      </c>
      <c r="V100" s="311" t="str">
        <f t="shared" si="15"/>
        <v/>
      </c>
      <c r="W100" s="284"/>
      <c r="X100" s="298">
        <f t="shared" si="19"/>
        <v>0</v>
      </c>
      <c r="Y100" s="298">
        <f t="shared" si="20"/>
        <v>0</v>
      </c>
      <c r="Z100" s="284"/>
    </row>
    <row r="101" spans="1:26" ht="15" customHeight="1" x14ac:dyDescent="0.25">
      <c r="A101" s="508"/>
      <c r="B101" s="511"/>
      <c r="C101" s="37"/>
      <c r="D101" s="33"/>
      <c r="E101" s="48"/>
      <c r="F101" s="102" t="str">
        <f t="shared" si="16"/>
        <v/>
      </c>
      <c r="G101" s="48"/>
      <c r="H101" s="306" t="str">
        <f>IF(AND(E101="",G101=""),"",SUM(F101:G104))</f>
        <v/>
      </c>
      <c r="J101" s="33"/>
      <c r="K101" s="33"/>
      <c r="L101" s="307" t="str">
        <f>IF(OR(J101="",K101=""),"",IF(J101="3",VLOOKUP(M101,'K% (Rede Convencional)'!$B$18:$M$29,8),(IF(J101="2",VLOOKUP(N101,'K% (Rede Convencional)'!$B$18:$M$29,9),(IF(J101="1",VLOOKUP(N101,'K% (Rede Convencional)'!$B$18:$M$29,10),(IF(J101="13",VLOOKUP(N101,'K% (Rede Convencional)'!$B$18:$M$29,11),(IF(J101="12",VLOOKUP(N101,'K% (Rede Convencional)'!$B$18:$M$29,12),0))))))))))</f>
        <v/>
      </c>
      <c r="M101" s="308" t="str">
        <f t="shared" si="17"/>
        <v/>
      </c>
      <c r="N101" s="308" t="str">
        <f>IF(K101="","",IF(K101="4 (4)","a",IF(OR(K101="2 (4)",K101="2 (2)"),VLOOKUP(K101,BT!$AE$21:$AF$22,2,FALSE),IF(OR(K101="1/0 (4)",K101="1/0 (2)"),VLOOKUP(K101,BT!$AE$24:$AF$25,2,FALSE),IF(OR(K101="4/0 (4)",K101="4/0 (2)",K101="4/0 (1/0)"),VLOOKUP(K101,BT!$AE$27:$AF$29,2,FALSE),IF(OR(K101="336,4 (4)",K101="336,4 (2)",K101="336,4 (1/0)",K101="336,4 (4/0)"),VLOOKUP(K101,BT!$AE$31:$AF$34,2,FALSE),0))))))</f>
        <v/>
      </c>
      <c r="O101" s="48"/>
      <c r="P101" s="309" t="str">
        <f t="shared" si="13"/>
        <v/>
      </c>
      <c r="Q101" s="309" t="str">
        <f>IF(P101="","",SUM($P$45:P101)+$W$95)</f>
        <v/>
      </c>
      <c r="R101" s="309" t="str">
        <f t="shared" si="14"/>
        <v/>
      </c>
      <c r="S101" s="310" t="str">
        <f>IF(OR(M101="a",N101="a"),VLOOKUP("a",'Características dos Cabos'!$D$25:$L$29,9),IF(OR(M101="b",M101="c",N101="b",N101="c"),VLOOKUP("b",'Características dos Cabos'!$D$25:$L$29,9),IF(OR(M101="d",M101="e",N101="d",N101="e"),VLOOKUP("c",'Características dos Cabos'!$D$25:$L$29,9),IF(OR(M101="f",M101="g",M101="h",N101="f",N101="g",N101="h"),VLOOKUP("d",'Características dos Cabos'!$D$25:$L$29,9),IF(OR(M101="i",M101="j",M101="l",M101="m",N101="i",N101="j",N101="l",N101="m"),VLOOKUP("e",'Características dos Cabos'!$D$25:$L$29,9),"")))))</f>
        <v/>
      </c>
      <c r="T101" s="309" t="str">
        <f t="shared" si="18"/>
        <v/>
      </c>
      <c r="U101" s="310" t="str">
        <f>IF(OR(M101="a",N101="a"),VLOOKUP("a",'Características dos Cabos'!$D$25:$L$29,3),IF(OR(M101="b",M101="c",N101="b",N101="c"),VLOOKUP("b",'Características dos Cabos'!$D$25:$L$29,3),IF(OR(M101="d",M101="e",N101="d",N101="e"),VLOOKUP("c",'Características dos Cabos'!$D$25:$L$29,3),IF(OR(M101="f",M101="g",M101="h",N101="f",N101="g",N101="h"),VLOOKUP("d",'Características dos Cabos'!$D$25:$L$29,3),IF(OR(M101="i",M101="j",M101="l",M101="m",N101="i",N101="j",N101="l",N101="m"),VLOOKUP("e",'Características dos Cabos'!$D$25:$L$29,3),"")))))</f>
        <v/>
      </c>
      <c r="V101" s="311" t="str">
        <f t="shared" si="15"/>
        <v/>
      </c>
      <c r="W101" s="284"/>
      <c r="X101" s="298">
        <f t="shared" si="19"/>
        <v>0</v>
      </c>
      <c r="Y101" s="298">
        <f t="shared" si="20"/>
        <v>0</v>
      </c>
      <c r="Z101" s="284"/>
    </row>
    <row r="102" spans="1:26" ht="15" customHeight="1" x14ac:dyDescent="0.25">
      <c r="A102" s="508"/>
      <c r="B102" s="511"/>
      <c r="C102" s="37"/>
      <c r="D102" s="33"/>
      <c r="E102" s="48"/>
      <c r="F102" s="102" t="str">
        <f t="shared" si="16"/>
        <v/>
      </c>
      <c r="G102" s="48"/>
      <c r="H102" s="306" t="str">
        <f>IF(AND(E102="",G102=""),"",SUM(F102:G104))</f>
        <v/>
      </c>
      <c r="J102" s="33"/>
      <c r="K102" s="33"/>
      <c r="L102" s="307" t="str">
        <f>IF(OR(J102="",K102=""),"",IF(J102="3",VLOOKUP(M102,'K% (Rede Convencional)'!$B$18:$M$29,8),(IF(J102="2",VLOOKUP(N102,'K% (Rede Convencional)'!$B$18:$M$29,9),(IF(J102="1",VLOOKUP(N102,'K% (Rede Convencional)'!$B$18:$M$29,10),(IF(J102="13",VLOOKUP(N102,'K% (Rede Convencional)'!$B$18:$M$29,11),(IF(J102="12",VLOOKUP(N102,'K% (Rede Convencional)'!$B$18:$M$29,12),0))))))))))</f>
        <v/>
      </c>
      <c r="M102" s="308" t="str">
        <f t="shared" si="17"/>
        <v/>
      </c>
      <c r="N102" s="308" t="str">
        <f>IF(K102="","",IF(K102="4 (4)","a",IF(OR(K102="2 (4)",K102="2 (2)"),VLOOKUP(K102,BT!$AE$21:$AF$22,2,FALSE),IF(OR(K102="1/0 (4)",K102="1/0 (2)"),VLOOKUP(K102,BT!$AE$24:$AF$25,2,FALSE),IF(OR(K102="4/0 (4)",K102="4/0 (2)",K102="4/0 (1/0)"),VLOOKUP(K102,BT!$AE$27:$AF$29,2,FALSE),IF(OR(K102="336,4 (4)",K102="336,4 (2)",K102="336,4 (1/0)",K102="336,4 (4/0)"),VLOOKUP(K102,BT!$AE$31:$AF$34,2,FALSE),0))))))</f>
        <v/>
      </c>
      <c r="O102" s="48"/>
      <c r="P102" s="309" t="str">
        <f t="shared" si="13"/>
        <v/>
      </c>
      <c r="Q102" s="309" t="str">
        <f>IF(P102="","",SUM($P$45:P102)+$W$95)</f>
        <v/>
      </c>
      <c r="R102" s="309" t="str">
        <f t="shared" si="14"/>
        <v/>
      </c>
      <c r="S102" s="310" t="str">
        <f>IF(OR(M102="a",N102="a"),VLOOKUP("a",'Características dos Cabos'!$D$25:$L$29,9),IF(OR(M102="b",M102="c",N102="b",N102="c"),VLOOKUP("b",'Características dos Cabos'!$D$25:$L$29,9),IF(OR(M102="d",M102="e",N102="d",N102="e"),VLOOKUP("c",'Características dos Cabos'!$D$25:$L$29,9),IF(OR(M102="f",M102="g",M102="h",N102="f",N102="g",N102="h"),VLOOKUP("d",'Características dos Cabos'!$D$25:$L$29,9),IF(OR(M102="i",M102="j",M102="l",M102="m",N102="i",N102="j",N102="l",N102="m"),VLOOKUP("e",'Características dos Cabos'!$D$25:$L$29,9),"")))))</f>
        <v/>
      </c>
      <c r="T102" s="309" t="str">
        <f t="shared" si="18"/>
        <v/>
      </c>
      <c r="U102" s="310" t="str">
        <f>IF(OR(M102="a",N102="a"),VLOOKUP("a",'Características dos Cabos'!$D$25:$L$29,3),IF(OR(M102="b",M102="c",N102="b",N102="c"),VLOOKUP("b",'Características dos Cabos'!$D$25:$L$29,3),IF(OR(M102="d",M102="e",N102="d",N102="e"),VLOOKUP("c",'Características dos Cabos'!$D$25:$L$29,3),IF(OR(M102="f",M102="g",M102="h",N102="f",N102="g",N102="h"),VLOOKUP("d",'Características dos Cabos'!$D$25:$L$29,3),IF(OR(M102="i",M102="j",M102="l",M102="m",N102="i",N102="j",N102="l",N102="m"),VLOOKUP("e",'Características dos Cabos'!$D$25:$L$29,3),"")))))</f>
        <v/>
      </c>
      <c r="V102" s="311" t="str">
        <f t="shared" si="15"/>
        <v/>
      </c>
      <c r="W102" s="284"/>
      <c r="X102" s="298">
        <f t="shared" si="19"/>
        <v>0</v>
      </c>
      <c r="Y102" s="298">
        <f t="shared" si="20"/>
        <v>0</v>
      </c>
      <c r="Z102" s="284"/>
    </row>
    <row r="103" spans="1:26" ht="15" customHeight="1" x14ac:dyDescent="0.25">
      <c r="A103" s="508"/>
      <c r="B103" s="511"/>
      <c r="C103" s="37"/>
      <c r="D103" s="33"/>
      <c r="E103" s="48"/>
      <c r="F103" s="102" t="str">
        <f t="shared" si="16"/>
        <v/>
      </c>
      <c r="G103" s="48"/>
      <c r="H103" s="306" t="str">
        <f>IF(AND(E103="",G103=""),"",SUM(F103:G104))</f>
        <v/>
      </c>
      <c r="J103" s="33"/>
      <c r="K103" s="33"/>
      <c r="L103" s="307" t="str">
        <f>IF(OR(J103="",K103=""),"",IF(J103="3",VLOOKUP(M103,'K% (Rede Convencional)'!$B$18:$M$29,8),(IF(J103="2",VLOOKUP(N103,'K% (Rede Convencional)'!$B$18:$M$29,9),(IF(J103="1",VLOOKUP(N103,'K% (Rede Convencional)'!$B$18:$M$29,10),(IF(J103="13",VLOOKUP(N103,'K% (Rede Convencional)'!$B$18:$M$29,11),(IF(J103="12",VLOOKUP(N103,'K% (Rede Convencional)'!$B$18:$M$29,12),0))))))))))</f>
        <v/>
      </c>
      <c r="M103" s="308" t="str">
        <f t="shared" si="17"/>
        <v/>
      </c>
      <c r="N103" s="308" t="str">
        <f>IF(K103="","",IF(K103="4 (4)","a",IF(OR(K103="2 (4)",K103="2 (2)"),VLOOKUP(K103,BT!$AE$21:$AF$22,2,FALSE),IF(OR(K103="1/0 (4)",K103="1/0 (2)"),VLOOKUP(K103,BT!$AE$24:$AF$25,2,FALSE),IF(OR(K103="4/0 (4)",K103="4/0 (2)",K103="4/0 (1/0)"),VLOOKUP(K103,BT!$AE$27:$AF$29,2,FALSE),IF(OR(K103="336,4 (4)",K103="336,4 (2)",K103="336,4 (1/0)",K103="336,4 (4/0)"),VLOOKUP(K103,BT!$AE$31:$AF$34,2,FALSE),0))))))</f>
        <v/>
      </c>
      <c r="O103" s="48"/>
      <c r="P103" s="309" t="str">
        <f t="shared" si="13"/>
        <v/>
      </c>
      <c r="Q103" s="309" t="str">
        <f>IF(P103="","",SUM($P$45:P103)+$W$95)</f>
        <v/>
      </c>
      <c r="R103" s="309" t="str">
        <f t="shared" si="14"/>
        <v/>
      </c>
      <c r="S103" s="310" t="str">
        <f>IF(OR(M103="a",N103="a"),VLOOKUP("a",'Características dos Cabos'!$D$25:$L$29,9),IF(OR(M103="b",M103="c",N103="b",N103="c"),VLOOKUP("b",'Características dos Cabos'!$D$25:$L$29,9),IF(OR(M103="d",M103="e",N103="d",N103="e"),VLOOKUP("c",'Características dos Cabos'!$D$25:$L$29,9),IF(OR(M103="f",M103="g",M103="h",N103="f",N103="g",N103="h"),VLOOKUP("d",'Características dos Cabos'!$D$25:$L$29,9),IF(OR(M103="i",M103="j",M103="l",M103="m",N103="i",N103="j",N103="l",N103="m"),VLOOKUP("e",'Características dos Cabos'!$D$25:$L$29,9),"")))))</f>
        <v/>
      </c>
      <c r="T103" s="309" t="str">
        <f t="shared" si="18"/>
        <v/>
      </c>
      <c r="U103" s="310" t="str">
        <f>IF(OR(M103="a",N103="a"),VLOOKUP("a",'Características dos Cabos'!$D$25:$L$29,3),IF(OR(M103="b",M103="c",N103="b",N103="c"),VLOOKUP("b",'Características dos Cabos'!$D$25:$L$29,3),IF(OR(M103="d",M103="e",N103="d",N103="e"),VLOOKUP("c",'Características dos Cabos'!$D$25:$L$29,3),IF(OR(M103="f",M103="g",M103="h",N103="f",N103="g",N103="h"),VLOOKUP("d",'Características dos Cabos'!$D$25:$L$29,3),IF(OR(M103="i",M103="j",M103="l",M103="m",N103="i",N103="j",N103="l",N103="m"),VLOOKUP("e",'Características dos Cabos'!$D$25:$L$29,3),"")))))</f>
        <v/>
      </c>
      <c r="V103" s="311" t="str">
        <f t="shared" si="15"/>
        <v/>
      </c>
      <c r="W103" s="284"/>
      <c r="X103" s="298">
        <f t="shared" si="19"/>
        <v>0</v>
      </c>
      <c r="Y103" s="298">
        <f t="shared" si="20"/>
        <v>0</v>
      </c>
      <c r="Z103" s="284"/>
    </row>
    <row r="104" spans="1:26" ht="15" customHeight="1" thickBot="1" x14ac:dyDescent="0.3">
      <c r="A104" s="508"/>
      <c r="B104" s="512"/>
      <c r="C104" s="55"/>
      <c r="D104" s="56"/>
      <c r="E104" s="57"/>
      <c r="F104" s="64" t="str">
        <f t="shared" si="16"/>
        <v/>
      </c>
      <c r="G104" s="57"/>
      <c r="H104" s="313" t="str">
        <f>IF(AND(E104="",G104=""),"",SUM(F104:G104))</f>
        <v/>
      </c>
      <c r="J104" s="56"/>
      <c r="K104" s="56"/>
      <c r="L104" s="314" t="str">
        <f>IF(OR(J104="",K104=""),"",IF(J104="3",VLOOKUP(M104,'K% (Rede Convencional)'!$B$18:$M$29,8),(IF(J104="2",VLOOKUP(N104,'K% (Rede Convencional)'!$B$18:$M$29,9),(IF(J104="1",VLOOKUP(N104,'K% (Rede Convencional)'!$B$18:$M$29,10),(IF(J104="13",VLOOKUP(N104,'K% (Rede Convencional)'!$B$18:$M$29,11),(IF(J104="12",VLOOKUP(N104,'K% (Rede Convencional)'!$B$18:$M$29,12),0))))))))))</f>
        <v/>
      </c>
      <c r="M104" s="315" t="str">
        <f t="shared" si="17"/>
        <v/>
      </c>
      <c r="N104" s="315" t="str">
        <f>IF(K104="","",IF(K104="4 (4)","a",IF(OR(K104="2 (4)",K104="2 (2)"),VLOOKUP(K104,BT!$AE$21:$AF$22,2,FALSE),IF(OR(K104="1/0 (4)",K104="1/0 (2)"),VLOOKUP(K104,BT!$AE$24:$AF$25,2,FALSE),IF(OR(K104="4/0 (4)",K104="4/0 (2)",K104="4/0 (1/0)"),VLOOKUP(K104,BT!$AE$27:$AF$29,2,FALSE),IF(OR(K104="336,4 (4)",K104="336,4 (2)",K104="336,4 (1/0)",K104="336,4 (4/0)"),VLOOKUP(K104,BT!$AE$31:$AF$34,2,FALSE),0))))))</f>
        <v/>
      </c>
      <c r="O104" s="57"/>
      <c r="P104" s="316" t="str">
        <f t="shared" si="13"/>
        <v/>
      </c>
      <c r="Q104" s="316" t="str">
        <f>IF(P104="","",SUM($P$45:P104)+$W$95)</f>
        <v/>
      </c>
      <c r="R104" s="316" t="str">
        <f t="shared" si="14"/>
        <v/>
      </c>
      <c r="S104" s="317" t="str">
        <f>IF(OR(M104="a",N104="a"),VLOOKUP("a",'Características dos Cabos'!$D$25:$L$29,9),IF(OR(M104="b",M104="c",N104="b",N104="c"),VLOOKUP("b",'Características dos Cabos'!$D$25:$L$29,9),IF(OR(M104="d",M104="e",N104="d",N104="e"),VLOOKUP("c",'Características dos Cabos'!$D$25:$L$29,9),IF(OR(M104="f",M104="g",M104="h",N104="f",N104="g",N104="h"),VLOOKUP("d",'Características dos Cabos'!$D$25:$L$29,9),IF(OR(M104="i",M104="j",M104="l",M104="m",N104="i",N104="j",N104="l",N104="m"),VLOOKUP("e",'Características dos Cabos'!$D$25:$L$29,9),"")))))</f>
        <v/>
      </c>
      <c r="T104" s="316" t="str">
        <f t="shared" si="18"/>
        <v/>
      </c>
      <c r="U104" s="317" t="str">
        <f>IF(OR(M104="a",N104="a"),VLOOKUP("a",'Características dos Cabos'!$D$25:$L$29,3),IF(OR(M104="b",M104="c",N104="b",N104="c"),VLOOKUP("b",'Características dos Cabos'!$D$25:$L$29,3),IF(OR(M104="d",M104="e",N104="d",N104="e"),VLOOKUP("c",'Características dos Cabos'!$D$25:$L$29,3),IF(OR(M104="f",M104="g",M104="h",N104="f",N104="g",N104="h"),VLOOKUP("d",'Características dos Cabos'!$D$25:$L$29,3),IF(OR(M104="i",M104="j",M104="l",M104="m",N104="i",N104="j",N104="l",N104="m"),VLOOKUP("e",'Características dos Cabos'!$D$25:$L$29,3),"")))))</f>
        <v/>
      </c>
      <c r="V104" s="318" t="str">
        <f t="shared" si="15"/>
        <v/>
      </c>
      <c r="W104" s="284"/>
      <c r="X104" s="298">
        <f t="shared" si="19"/>
        <v>0</v>
      </c>
      <c r="Y104" s="298">
        <f t="shared" si="20"/>
        <v>0</v>
      </c>
      <c r="Z104" s="284"/>
    </row>
    <row r="105" spans="1:26" ht="15" customHeight="1" thickTop="1" x14ac:dyDescent="0.25">
      <c r="A105" s="508"/>
      <c r="B105" s="510" t="str">
        <f>CONCATENATE("Ramal 7 - Derivando no ponto ",C105)</f>
        <v xml:space="preserve">Ramal 7 - Derivando no ponto </v>
      </c>
      <c r="C105" s="36"/>
      <c r="D105" s="35"/>
      <c r="E105" s="47"/>
      <c r="F105" s="102" t="str">
        <f t="shared" si="16"/>
        <v/>
      </c>
      <c r="G105" s="47"/>
      <c r="H105" s="320" t="str">
        <f>IF(AND(E105="",G105=""),"",SUM(F105:G114))</f>
        <v/>
      </c>
      <c r="J105" s="35"/>
      <c r="K105" s="35"/>
      <c r="L105" s="321" t="str">
        <f>IF(OR(J105="",K105=""),"",IF(J105="3",VLOOKUP(M105,'K% (Rede Convencional)'!$B$18:$M$29,8),(IF(J105="2",VLOOKUP(N105,'K% (Rede Convencional)'!$B$18:$M$29,9),(IF(J105="1",VLOOKUP(N105,'K% (Rede Convencional)'!$B$18:$M$29,10),(IF(J105="13",VLOOKUP(N105,'K% (Rede Convencional)'!$B$18:$M$29,11),(IF(J105="12",VLOOKUP(N105,'K% (Rede Convencional)'!$B$18:$M$29,12),0))))))))))</f>
        <v/>
      </c>
      <c r="M105" s="294" t="str">
        <f t="shared" si="17"/>
        <v/>
      </c>
      <c r="N105" s="294" t="str">
        <f>IF(K105="","",IF(K105="4 (4)","a",IF(OR(K105="2 (4)",K105="2 (2)"),VLOOKUP(K105,BT!$AE$21:$AF$22,2,FALSE),IF(OR(K105="1/0 (4)",K105="1/0 (2)"),VLOOKUP(K105,BT!$AE$24:$AF$25,2,FALSE),IF(OR(K105="4/0 (4)",K105="4/0 (2)",K105="4/0 (1/0)"),VLOOKUP(K105,BT!$AE$27:$AF$29,2,FALSE),IF(OR(K105="336,4 (4)",K105="336,4 (2)",K105="336,4 (1/0)",K105="336,4 (4/0)"),VLOOKUP(K105,BT!$AE$31:$AF$34,2,FALSE),0))))))</f>
        <v/>
      </c>
      <c r="O105" s="47"/>
      <c r="P105" s="322" t="str">
        <f t="shared" si="13"/>
        <v/>
      </c>
      <c r="Q105" s="322" t="str">
        <f>IF(P105="","",P105+VLOOKUP(C105,$D$21:$Q$43,13,FALSE))</f>
        <v/>
      </c>
      <c r="R105" s="322" t="str">
        <f t="shared" si="14"/>
        <v/>
      </c>
      <c r="S105" s="323" t="str">
        <f>IF(OR(M105="a",N105="a"),VLOOKUP("a",'Características dos Cabos'!$D$25:$L$29,9),IF(OR(M105="b",M105="c",N105="b",N105="c"),VLOOKUP("b",'Características dos Cabos'!$D$25:$L$29,9),IF(OR(M105="d",M105="e",N105="d",N105="e"),VLOOKUP("c",'Características dos Cabos'!$D$25:$L$29,9),IF(OR(M105="f",M105="g",M105="h",N105="f",N105="g",N105="h"),VLOOKUP("d",'Características dos Cabos'!$D$25:$L$29,9),IF(OR(M105="i",M105="j",M105="l",M105="m",N105="i",N105="j",N105="l",N105="m"),VLOOKUP("e",'Características dos Cabos'!$D$25:$L$29,9),"")))))</f>
        <v/>
      </c>
      <c r="T105" s="322" t="str">
        <f t="shared" si="18"/>
        <v/>
      </c>
      <c r="U105" s="323" t="str">
        <f>IF(OR(M105="a",N105="a"),VLOOKUP("a",'Características dos Cabos'!$D$25:$L$29,3),IF(OR(M105="b",M105="c",N105="b",N105="c"),VLOOKUP("b",'Características dos Cabos'!$D$25:$L$29,3),IF(OR(M105="d",M105="e",N105="d",N105="e"),VLOOKUP("c",'Características dos Cabos'!$D$25:$L$29,3),IF(OR(M105="f",M105="g",M105="h",N105="f",N105="g",N105="h"),VLOOKUP("d",'Características dos Cabos'!$D$25:$L$29,3),IF(OR(M105="i",M105="j",M105="l",M105="m",N105="i",N105="j",N105="l",N105="m"),VLOOKUP("e",'Características dos Cabos'!$D$25:$L$29,3),"")))))</f>
        <v/>
      </c>
      <c r="V105" s="324" t="str">
        <f t="shared" si="15"/>
        <v/>
      </c>
      <c r="W105" s="343" t="e">
        <f>VLOOKUP(C105,$D$21:$Q$43,12,FALSE)</f>
        <v>#N/A</v>
      </c>
      <c r="X105" s="298">
        <f t="shared" si="19"/>
        <v>0</v>
      </c>
      <c r="Y105" s="298">
        <f t="shared" si="20"/>
        <v>0</v>
      </c>
      <c r="Z105" s="284"/>
    </row>
    <row r="106" spans="1:26" ht="15" customHeight="1" x14ac:dyDescent="0.25">
      <c r="A106" s="508"/>
      <c r="B106" s="511"/>
      <c r="C106" s="37"/>
      <c r="D106" s="33"/>
      <c r="E106" s="48"/>
      <c r="F106" s="102" t="str">
        <f t="shared" si="16"/>
        <v/>
      </c>
      <c r="G106" s="48"/>
      <c r="H106" s="306" t="str">
        <f>IF(AND(E106="",G106=""),"",SUM(F106:G114))</f>
        <v/>
      </c>
      <c r="J106" s="33"/>
      <c r="K106" s="33"/>
      <c r="L106" s="307" t="str">
        <f>IF(OR(J106="",K106=""),"",IF(J106="3",VLOOKUP(M106,'K% (Rede Convencional)'!$B$18:$M$29,8),(IF(J106="2",VLOOKUP(N106,'K% (Rede Convencional)'!$B$18:$M$29,9),(IF(J106="1",VLOOKUP(N106,'K% (Rede Convencional)'!$B$18:$M$29,10),(IF(J106="13",VLOOKUP(N106,'K% (Rede Convencional)'!$B$18:$M$29,11),(IF(J106="12",VLOOKUP(N106,'K% (Rede Convencional)'!$B$18:$M$29,12),0))))))))))</f>
        <v/>
      </c>
      <c r="M106" s="308" t="str">
        <f t="shared" si="17"/>
        <v/>
      </c>
      <c r="N106" s="308" t="str">
        <f>IF(K106="","",IF(K106="4 (4)","a",IF(OR(K106="2 (4)",K106="2 (2)"),VLOOKUP(K106,BT!$AE$21:$AF$22,2,FALSE),IF(OR(K106="1/0 (4)",K106="1/0 (2)"),VLOOKUP(K106,BT!$AE$24:$AF$25,2,FALSE),IF(OR(K106="4/0 (4)",K106="4/0 (2)",K106="4/0 (1/0)"),VLOOKUP(K106,BT!$AE$27:$AF$29,2,FALSE),IF(OR(K106="336,4 (4)",K106="336,4 (2)",K106="336,4 (1/0)",K106="336,4 (4/0)"),VLOOKUP(K106,BT!$AE$31:$AF$34,2,FALSE),0))))))</f>
        <v/>
      </c>
      <c r="O106" s="48"/>
      <c r="P106" s="309" t="str">
        <f t="shared" si="13"/>
        <v/>
      </c>
      <c r="Q106" s="309" t="str">
        <f>IF(P106="","",SUM($P$45:P106)+$W$105)</f>
        <v/>
      </c>
      <c r="R106" s="309" t="str">
        <f t="shared" si="14"/>
        <v/>
      </c>
      <c r="S106" s="310" t="str">
        <f>IF(OR(M106="a",N106="a"),VLOOKUP("a",'Características dos Cabos'!$D$25:$L$29,9),IF(OR(M106="b",M106="c",N106="b",N106="c"),VLOOKUP("b",'Características dos Cabos'!$D$25:$L$29,9),IF(OR(M106="d",M106="e",N106="d",N106="e"),VLOOKUP("c",'Características dos Cabos'!$D$25:$L$29,9),IF(OR(M106="f",M106="g",M106="h",N106="f",N106="g",N106="h"),VLOOKUP("d",'Características dos Cabos'!$D$25:$L$29,9),IF(OR(M106="i",M106="j",M106="l",M106="m",N106="i",N106="j",N106="l",N106="m"),VLOOKUP("e",'Características dos Cabos'!$D$25:$L$29,9),"")))))</f>
        <v/>
      </c>
      <c r="T106" s="309" t="str">
        <f t="shared" si="18"/>
        <v/>
      </c>
      <c r="U106" s="310" t="str">
        <f>IF(OR(M106="a",N106="a"),VLOOKUP("a",'Características dos Cabos'!$D$25:$L$29,3),IF(OR(M106="b",M106="c",N106="b",N106="c"),VLOOKUP("b",'Características dos Cabos'!$D$25:$L$29,3),IF(OR(M106="d",M106="e",N106="d",N106="e"),VLOOKUP("c",'Características dos Cabos'!$D$25:$L$29,3),IF(OR(M106="f",M106="g",M106="h",N106="f",N106="g",N106="h"),VLOOKUP("d",'Características dos Cabos'!$D$25:$L$29,3),IF(OR(M106="i",M106="j",M106="l",M106="m",N106="i",N106="j",N106="l",N106="m"),VLOOKUP("e",'Características dos Cabos'!$D$25:$L$29,3),"")))))</f>
        <v/>
      </c>
      <c r="V106" s="311" t="str">
        <f t="shared" si="15"/>
        <v/>
      </c>
      <c r="W106" s="284"/>
      <c r="X106" s="298">
        <f t="shared" si="19"/>
        <v>0</v>
      </c>
      <c r="Y106" s="298">
        <f t="shared" si="20"/>
        <v>0</v>
      </c>
      <c r="Z106" s="284"/>
    </row>
    <row r="107" spans="1:26" ht="15" customHeight="1" x14ac:dyDescent="0.25">
      <c r="A107" s="508"/>
      <c r="B107" s="511"/>
      <c r="C107" s="37"/>
      <c r="D107" s="33"/>
      <c r="E107" s="48"/>
      <c r="F107" s="102" t="str">
        <f t="shared" si="16"/>
        <v/>
      </c>
      <c r="G107" s="48"/>
      <c r="H107" s="306" t="str">
        <f>IF(AND(E107="",G107=""),"",SUM(F107:G114))</f>
        <v/>
      </c>
      <c r="J107" s="33"/>
      <c r="K107" s="33"/>
      <c r="L107" s="307" t="str">
        <f>IF(OR(J107="",K107=""),"",IF(J107="3",VLOOKUP(M107,'K% (Rede Convencional)'!$B$18:$M$29,8),(IF(J107="2",VLOOKUP(N107,'K% (Rede Convencional)'!$B$18:$M$29,9),(IF(J107="1",VLOOKUP(N107,'K% (Rede Convencional)'!$B$18:$M$29,10),(IF(J107="13",VLOOKUP(N107,'K% (Rede Convencional)'!$B$18:$M$29,11),(IF(J107="12",VLOOKUP(N107,'K% (Rede Convencional)'!$B$18:$M$29,12),0))))))))))</f>
        <v/>
      </c>
      <c r="M107" s="308" t="str">
        <f t="shared" si="17"/>
        <v/>
      </c>
      <c r="N107" s="308" t="str">
        <f>IF(K107="","",IF(K107="4 (4)","a",IF(OR(K107="2 (4)",K107="2 (2)"),VLOOKUP(K107,BT!$AE$21:$AF$22,2,FALSE),IF(OR(K107="1/0 (4)",K107="1/0 (2)"),VLOOKUP(K107,BT!$AE$24:$AF$25,2,FALSE),IF(OR(K107="4/0 (4)",K107="4/0 (2)",K107="4/0 (1/0)"),VLOOKUP(K107,BT!$AE$27:$AF$29,2,FALSE),IF(OR(K107="336,4 (4)",K107="336,4 (2)",K107="336,4 (1/0)",K107="336,4 (4/0)"),VLOOKUP(K107,BT!$AE$31:$AF$34,2,FALSE),0))))))</f>
        <v/>
      </c>
      <c r="O107" s="48"/>
      <c r="P107" s="309" t="str">
        <f t="shared" si="13"/>
        <v/>
      </c>
      <c r="Q107" s="309" t="str">
        <f>IF(P107="","",SUM($P$45:P107)+$W$105)</f>
        <v/>
      </c>
      <c r="R107" s="309" t="str">
        <f t="shared" si="14"/>
        <v/>
      </c>
      <c r="S107" s="310" t="str">
        <f>IF(OR(M107="a",N107="a"),VLOOKUP("a",'Características dos Cabos'!$D$25:$L$29,9),IF(OR(M107="b",M107="c",N107="b",N107="c"),VLOOKUP("b",'Características dos Cabos'!$D$25:$L$29,9),IF(OR(M107="d",M107="e",N107="d",N107="e"),VLOOKUP("c",'Características dos Cabos'!$D$25:$L$29,9),IF(OR(M107="f",M107="g",M107="h",N107="f",N107="g",N107="h"),VLOOKUP("d",'Características dos Cabos'!$D$25:$L$29,9),IF(OR(M107="i",M107="j",M107="l",M107="m",N107="i",N107="j",N107="l",N107="m"),VLOOKUP("e",'Características dos Cabos'!$D$25:$L$29,9),"")))))</f>
        <v/>
      </c>
      <c r="T107" s="309" t="str">
        <f t="shared" si="18"/>
        <v/>
      </c>
      <c r="U107" s="310" t="str">
        <f>IF(OR(M107="a",N107="a"),VLOOKUP("a",'Características dos Cabos'!$D$25:$L$29,3),IF(OR(M107="b",M107="c",N107="b",N107="c"),VLOOKUP("b",'Características dos Cabos'!$D$25:$L$29,3),IF(OR(M107="d",M107="e",N107="d",N107="e"),VLOOKUP("c",'Características dos Cabos'!$D$25:$L$29,3),IF(OR(M107="f",M107="g",M107="h",N107="f",N107="g",N107="h"),VLOOKUP("d",'Características dos Cabos'!$D$25:$L$29,3),IF(OR(M107="i",M107="j",M107="l",M107="m",N107="i",N107="j",N107="l",N107="m"),VLOOKUP("e",'Características dos Cabos'!$D$25:$L$29,3),"")))))</f>
        <v/>
      </c>
      <c r="V107" s="311" t="str">
        <f t="shared" si="15"/>
        <v/>
      </c>
      <c r="W107" s="284"/>
      <c r="X107" s="298">
        <f t="shared" si="19"/>
        <v>0</v>
      </c>
      <c r="Y107" s="298">
        <f t="shared" si="20"/>
        <v>0</v>
      </c>
      <c r="Z107" s="284"/>
    </row>
    <row r="108" spans="1:26" ht="15" customHeight="1" x14ac:dyDescent="0.25">
      <c r="A108" s="508"/>
      <c r="B108" s="511"/>
      <c r="C108" s="37"/>
      <c r="D108" s="33"/>
      <c r="E108" s="48"/>
      <c r="F108" s="102" t="str">
        <f t="shared" si="16"/>
        <v/>
      </c>
      <c r="G108" s="48"/>
      <c r="H108" s="306" t="str">
        <f>IF(AND(E108="",G108=""),"",SUM(F108:G114))</f>
        <v/>
      </c>
      <c r="J108" s="33"/>
      <c r="K108" s="33"/>
      <c r="L108" s="307" t="str">
        <f>IF(OR(J108="",K108=""),"",IF(J108="3",VLOOKUP(M108,'K% (Rede Convencional)'!$B$18:$M$29,8),(IF(J108="2",VLOOKUP(N108,'K% (Rede Convencional)'!$B$18:$M$29,9),(IF(J108="1",VLOOKUP(N108,'K% (Rede Convencional)'!$B$18:$M$29,10),(IF(J108="13",VLOOKUP(N108,'K% (Rede Convencional)'!$B$18:$M$29,11),(IF(J108="12",VLOOKUP(N108,'K% (Rede Convencional)'!$B$18:$M$29,12),0))))))))))</f>
        <v/>
      </c>
      <c r="M108" s="308" t="str">
        <f t="shared" si="17"/>
        <v/>
      </c>
      <c r="N108" s="308" t="str">
        <f>IF(K108="","",IF(K108="4 (4)","a",IF(OR(K108="2 (4)",K108="2 (2)"),VLOOKUP(K108,BT!$AE$21:$AF$22,2,FALSE),IF(OR(K108="1/0 (4)",K108="1/0 (2)"),VLOOKUP(K108,BT!$AE$24:$AF$25,2,FALSE),IF(OR(K108="4/0 (4)",K108="4/0 (2)",K108="4/0 (1/0)"),VLOOKUP(K108,BT!$AE$27:$AF$29,2,FALSE),IF(OR(K108="336,4 (4)",K108="336,4 (2)",K108="336,4 (1/0)",K108="336,4 (4/0)"),VLOOKUP(K108,BT!$AE$31:$AF$34,2,FALSE),0))))))</f>
        <v/>
      </c>
      <c r="O108" s="48"/>
      <c r="P108" s="309" t="str">
        <f t="shared" si="13"/>
        <v/>
      </c>
      <c r="Q108" s="309" t="str">
        <f>IF(P108="","",SUM($P$45:P108)+$W$105)</f>
        <v/>
      </c>
      <c r="R108" s="309" t="str">
        <f t="shared" si="14"/>
        <v/>
      </c>
      <c r="S108" s="310" t="str">
        <f>IF(OR(M108="a",N108="a"),VLOOKUP("a",'Características dos Cabos'!$D$25:$L$29,9),IF(OR(M108="b",M108="c",N108="b",N108="c"),VLOOKUP("b",'Características dos Cabos'!$D$25:$L$29,9),IF(OR(M108="d",M108="e",N108="d",N108="e"),VLOOKUP("c",'Características dos Cabos'!$D$25:$L$29,9),IF(OR(M108="f",M108="g",M108="h",N108="f",N108="g",N108="h"),VLOOKUP("d",'Características dos Cabos'!$D$25:$L$29,9),IF(OR(M108="i",M108="j",M108="l",M108="m",N108="i",N108="j",N108="l",N108="m"),VLOOKUP("e",'Características dos Cabos'!$D$25:$L$29,9),"")))))</f>
        <v/>
      </c>
      <c r="T108" s="309" t="str">
        <f t="shared" si="18"/>
        <v/>
      </c>
      <c r="U108" s="310" t="str">
        <f>IF(OR(M108="a",N108="a"),VLOOKUP("a",'Características dos Cabos'!$D$25:$L$29,3),IF(OR(M108="b",M108="c",N108="b",N108="c"),VLOOKUP("b",'Características dos Cabos'!$D$25:$L$29,3),IF(OR(M108="d",M108="e",N108="d",N108="e"),VLOOKUP("c",'Características dos Cabos'!$D$25:$L$29,3),IF(OR(M108="f",M108="g",M108="h",N108="f",N108="g",N108="h"),VLOOKUP("d",'Características dos Cabos'!$D$25:$L$29,3),IF(OR(M108="i",M108="j",M108="l",M108="m",N108="i",N108="j",N108="l",N108="m"),VLOOKUP("e",'Características dos Cabos'!$D$25:$L$29,3),"")))))</f>
        <v/>
      </c>
      <c r="V108" s="311" t="str">
        <f t="shared" si="15"/>
        <v/>
      </c>
      <c r="W108" s="284"/>
      <c r="X108" s="298">
        <f t="shared" si="19"/>
        <v>0</v>
      </c>
      <c r="Y108" s="298">
        <f t="shared" si="20"/>
        <v>0</v>
      </c>
      <c r="Z108" s="284"/>
    </row>
    <row r="109" spans="1:26" ht="15" customHeight="1" x14ac:dyDescent="0.25">
      <c r="A109" s="508"/>
      <c r="B109" s="511"/>
      <c r="C109" s="37"/>
      <c r="D109" s="33"/>
      <c r="E109" s="48"/>
      <c r="F109" s="102" t="str">
        <f t="shared" si="16"/>
        <v/>
      </c>
      <c r="G109" s="48"/>
      <c r="H109" s="306" t="str">
        <f>IF(AND(E109="",G109=""),"",SUM(F109:G114))</f>
        <v/>
      </c>
      <c r="J109" s="33"/>
      <c r="K109" s="33"/>
      <c r="L109" s="307" t="str">
        <f>IF(OR(J109="",K109=""),"",IF(J109="3",VLOOKUP(M109,'K% (Rede Convencional)'!$B$18:$M$29,8),(IF(J109="2",VLOOKUP(N109,'K% (Rede Convencional)'!$B$18:$M$29,9),(IF(J109="1",VLOOKUP(N109,'K% (Rede Convencional)'!$B$18:$M$29,10),(IF(J109="13",VLOOKUP(N109,'K% (Rede Convencional)'!$B$18:$M$29,11),(IF(J109="12",VLOOKUP(N109,'K% (Rede Convencional)'!$B$18:$M$29,12),0))))))))))</f>
        <v/>
      </c>
      <c r="M109" s="308" t="str">
        <f t="shared" si="17"/>
        <v/>
      </c>
      <c r="N109" s="308" t="str">
        <f>IF(K109="","",IF(K109="4 (4)","a",IF(OR(K109="2 (4)",K109="2 (2)"),VLOOKUP(K109,BT!$AE$21:$AF$22,2,FALSE),IF(OR(K109="1/0 (4)",K109="1/0 (2)"),VLOOKUP(K109,BT!$AE$24:$AF$25,2,FALSE),IF(OR(K109="4/0 (4)",K109="4/0 (2)",K109="4/0 (1/0)"),VLOOKUP(K109,BT!$AE$27:$AF$29,2,FALSE),IF(OR(K109="336,4 (4)",K109="336,4 (2)",K109="336,4 (1/0)",K109="336,4 (4/0)"),VLOOKUP(K109,BT!$AE$31:$AF$34,2,FALSE),0))))))</f>
        <v/>
      </c>
      <c r="O109" s="48"/>
      <c r="P109" s="309" t="str">
        <f t="shared" ref="P109:P124" si="21">IF(OR(H109="",L109="",O109=""),"",L109*H109*O109)</f>
        <v/>
      </c>
      <c r="Q109" s="309" t="str">
        <f>IF(P109="","",SUM($P$45:P109)+$W$105)</f>
        <v/>
      </c>
      <c r="R109" s="309" t="str">
        <f t="shared" ref="R109:R124" si="22">IF(H109="","",IF(J109="3",H109*1000/($D$14*SQRT(3)),IF(J109="2",H109*1000*SQRT(3)/($D$14*2),IF(J109="1",H109*1000*SQRT(3)/$D$14,IF(J109="13",H109*1000/$D$16,IF(J109="12",H109*1000*2/$D$16,"erro"))))))</f>
        <v/>
      </c>
      <c r="S109" s="310" t="str">
        <f>IF(OR(M109="a",N109="a"),VLOOKUP("a",'Características dos Cabos'!$D$25:$L$29,9),IF(OR(M109="b",M109="c",N109="b",N109="c"),VLOOKUP("b",'Características dos Cabos'!$D$25:$L$29,9),IF(OR(M109="d",M109="e",N109="d",N109="e"),VLOOKUP("c",'Características dos Cabos'!$D$25:$L$29,9),IF(OR(M109="f",M109="g",M109="h",N109="f",N109="g",N109="h"),VLOOKUP("d",'Características dos Cabos'!$D$25:$L$29,9),IF(OR(M109="i",M109="j",M109="l",M109="m",N109="i",N109="j",N109="l",N109="m"),VLOOKUP("e",'Características dos Cabos'!$D$25:$L$29,9),"")))))</f>
        <v/>
      </c>
      <c r="T109" s="309" t="str">
        <f t="shared" si="18"/>
        <v/>
      </c>
      <c r="U109" s="310" t="str">
        <f>IF(OR(M109="a",N109="a"),VLOOKUP("a",'Características dos Cabos'!$D$25:$L$29,3),IF(OR(M109="b",M109="c",N109="b",N109="c"),VLOOKUP("b",'Características dos Cabos'!$D$25:$L$29,3),IF(OR(M109="d",M109="e",N109="d",N109="e"),VLOOKUP("c",'Características dos Cabos'!$D$25:$L$29,3),IF(OR(M109="f",M109="g",M109="h",N109="f",N109="g",N109="h"),VLOOKUP("d",'Características dos Cabos'!$D$25:$L$29,3),IF(OR(M109="i",M109="j",M109="l",M109="m",N109="i",N109="j",N109="l",N109="m"),VLOOKUP("e",'Características dos Cabos'!$D$25:$L$29,3),"")))))</f>
        <v/>
      </c>
      <c r="V109" s="311" t="str">
        <f t="shared" ref="V109:V124" si="23">IF(OR(O109="",$G$16="",H109="",N109=""),"",IF(J109="3",3*$L$12*U109*O109/1000*R109^2*8.76,IF(OR(J109="2",J109="13"),2*$L$12*U109*O109/1000*R109^2*8.76,IF(OR(J109="1",J109="12"),$L$12*U109*O109/1000*R109^2*8.76))))</f>
        <v/>
      </c>
      <c r="W109" s="284"/>
      <c r="X109" s="298">
        <f t="shared" si="19"/>
        <v>0</v>
      </c>
      <c r="Y109" s="298">
        <f t="shared" si="20"/>
        <v>0</v>
      </c>
      <c r="Z109" s="284"/>
    </row>
    <row r="110" spans="1:26" ht="15" customHeight="1" x14ac:dyDescent="0.25">
      <c r="A110" s="508"/>
      <c r="B110" s="511"/>
      <c r="C110" s="37"/>
      <c r="D110" s="33"/>
      <c r="E110" s="48"/>
      <c r="F110" s="102" t="str">
        <f t="shared" si="16"/>
        <v/>
      </c>
      <c r="G110" s="48"/>
      <c r="H110" s="306" t="str">
        <f>IF(AND(E110="",G110=""),"",SUM(F110:G114))</f>
        <v/>
      </c>
      <c r="J110" s="33"/>
      <c r="K110" s="33"/>
      <c r="L110" s="307" t="str">
        <f>IF(OR(J110="",K110=""),"",IF(J110="3",VLOOKUP(M110,'K% (Rede Convencional)'!$B$18:$M$29,8),(IF(J110="2",VLOOKUP(N110,'K% (Rede Convencional)'!$B$18:$M$29,9),(IF(J110="1",VLOOKUP(N110,'K% (Rede Convencional)'!$B$18:$M$29,10),(IF(J110="13",VLOOKUP(N110,'K% (Rede Convencional)'!$B$18:$M$29,11),(IF(J110="12",VLOOKUP(N110,'K% (Rede Convencional)'!$B$18:$M$29,12),0))))))))))</f>
        <v/>
      </c>
      <c r="M110" s="308" t="str">
        <f t="shared" si="17"/>
        <v/>
      </c>
      <c r="N110" s="308" t="str">
        <f>IF(K110="","",IF(K110="4 (4)","a",IF(OR(K110="2 (4)",K110="2 (2)"),VLOOKUP(K110,BT!$AE$21:$AF$22,2,FALSE),IF(OR(K110="1/0 (4)",K110="1/0 (2)"),VLOOKUP(K110,BT!$AE$24:$AF$25,2,FALSE),IF(OR(K110="4/0 (4)",K110="4/0 (2)",K110="4/0 (1/0)"),VLOOKUP(K110,BT!$AE$27:$AF$29,2,FALSE),IF(OR(K110="336,4 (4)",K110="336,4 (2)",K110="336,4 (1/0)",K110="336,4 (4/0)"),VLOOKUP(K110,BT!$AE$31:$AF$34,2,FALSE),0))))))</f>
        <v/>
      </c>
      <c r="O110" s="48"/>
      <c r="P110" s="309" t="str">
        <f t="shared" si="21"/>
        <v/>
      </c>
      <c r="Q110" s="309" t="str">
        <f>IF(P110="","",SUM($P$45:P110)+$W$105)</f>
        <v/>
      </c>
      <c r="R110" s="309" t="str">
        <f t="shared" si="22"/>
        <v/>
      </c>
      <c r="S110" s="310" t="str">
        <f>IF(OR(M110="a",N110="a"),VLOOKUP("a",'Características dos Cabos'!$D$25:$L$29,9),IF(OR(M110="b",M110="c",N110="b",N110="c"),VLOOKUP("b",'Características dos Cabos'!$D$25:$L$29,9),IF(OR(M110="d",M110="e",N110="d",N110="e"),VLOOKUP("c",'Características dos Cabos'!$D$25:$L$29,9),IF(OR(M110="f",M110="g",M110="h",N110="f",N110="g",N110="h"),VLOOKUP("d",'Características dos Cabos'!$D$25:$L$29,9),IF(OR(M110="i",M110="j",M110="l",M110="m",N110="i",N110="j",N110="l",N110="m"),VLOOKUP("e",'Características dos Cabos'!$D$25:$L$29,9),"")))))</f>
        <v/>
      </c>
      <c r="T110" s="309" t="str">
        <f t="shared" si="18"/>
        <v/>
      </c>
      <c r="U110" s="310" t="str">
        <f>IF(OR(M110="a",N110="a"),VLOOKUP("a",'Características dos Cabos'!$D$25:$L$29,3),IF(OR(M110="b",M110="c",N110="b",N110="c"),VLOOKUP("b",'Características dos Cabos'!$D$25:$L$29,3),IF(OR(M110="d",M110="e",N110="d",N110="e"),VLOOKUP("c",'Características dos Cabos'!$D$25:$L$29,3),IF(OR(M110="f",M110="g",M110="h",N110="f",N110="g",N110="h"),VLOOKUP("d",'Características dos Cabos'!$D$25:$L$29,3),IF(OR(M110="i",M110="j",M110="l",M110="m",N110="i",N110="j",N110="l",N110="m"),VLOOKUP("e",'Características dos Cabos'!$D$25:$L$29,3),"")))))</f>
        <v/>
      </c>
      <c r="V110" s="311" t="str">
        <f t="shared" si="23"/>
        <v/>
      </c>
      <c r="W110" s="284"/>
      <c r="X110" s="298">
        <f t="shared" si="19"/>
        <v>0</v>
      </c>
      <c r="Y110" s="298">
        <f t="shared" si="20"/>
        <v>0</v>
      </c>
      <c r="Z110" s="284"/>
    </row>
    <row r="111" spans="1:26" ht="15" customHeight="1" x14ac:dyDescent="0.25">
      <c r="A111" s="508"/>
      <c r="B111" s="511"/>
      <c r="C111" s="37"/>
      <c r="D111" s="33"/>
      <c r="E111" s="48"/>
      <c r="F111" s="102" t="str">
        <f t="shared" si="16"/>
        <v/>
      </c>
      <c r="G111" s="48"/>
      <c r="H111" s="306" t="str">
        <f>IF(AND(E111="",G111=""),"",SUM(F111:G114))</f>
        <v/>
      </c>
      <c r="J111" s="33"/>
      <c r="K111" s="33"/>
      <c r="L111" s="307" t="str">
        <f>IF(OR(J111="",K111=""),"",IF(J111="3",VLOOKUP(M111,'K% (Rede Convencional)'!$B$18:$M$29,8),(IF(J111="2",VLOOKUP(N111,'K% (Rede Convencional)'!$B$18:$M$29,9),(IF(J111="1",VLOOKUP(N111,'K% (Rede Convencional)'!$B$18:$M$29,10),(IF(J111="13",VLOOKUP(N111,'K% (Rede Convencional)'!$B$18:$M$29,11),(IF(J111="12",VLOOKUP(N111,'K% (Rede Convencional)'!$B$18:$M$29,12),0))))))))))</f>
        <v/>
      </c>
      <c r="M111" s="308" t="str">
        <f t="shared" si="17"/>
        <v/>
      </c>
      <c r="N111" s="308" t="str">
        <f>IF(K111="","",IF(K111="4 (4)","a",IF(OR(K111="2 (4)",K111="2 (2)"),VLOOKUP(K111,BT!$AE$21:$AF$22,2,FALSE),IF(OR(K111="1/0 (4)",K111="1/0 (2)"),VLOOKUP(K111,BT!$AE$24:$AF$25,2,FALSE),IF(OR(K111="4/0 (4)",K111="4/0 (2)",K111="4/0 (1/0)"),VLOOKUP(K111,BT!$AE$27:$AF$29,2,FALSE),IF(OR(K111="336,4 (4)",K111="336,4 (2)",K111="336,4 (1/0)",K111="336,4 (4/0)"),VLOOKUP(K111,BT!$AE$31:$AF$34,2,FALSE),0))))))</f>
        <v/>
      </c>
      <c r="O111" s="48"/>
      <c r="P111" s="309" t="str">
        <f t="shared" si="21"/>
        <v/>
      </c>
      <c r="Q111" s="309" t="str">
        <f>IF(P111="","",SUM($P$45:P111)+$W$105)</f>
        <v/>
      </c>
      <c r="R111" s="309" t="str">
        <f t="shared" si="22"/>
        <v/>
      </c>
      <c r="S111" s="310" t="str">
        <f>IF(OR(M111="a",N111="a"),VLOOKUP("a",'Características dos Cabos'!$D$25:$L$29,9),IF(OR(M111="b",M111="c",N111="b",N111="c"),VLOOKUP("b",'Características dos Cabos'!$D$25:$L$29,9),IF(OR(M111="d",M111="e",N111="d",N111="e"),VLOOKUP("c",'Características dos Cabos'!$D$25:$L$29,9),IF(OR(M111="f",M111="g",M111="h",N111="f",N111="g",N111="h"),VLOOKUP("d",'Características dos Cabos'!$D$25:$L$29,9),IF(OR(M111="i",M111="j",M111="l",M111="m",N111="i",N111="j",N111="l",N111="m"),VLOOKUP("e",'Características dos Cabos'!$D$25:$L$29,9),"")))))</f>
        <v/>
      </c>
      <c r="T111" s="309" t="str">
        <f t="shared" si="18"/>
        <v/>
      </c>
      <c r="U111" s="310" t="str">
        <f>IF(OR(M111="a",N111="a"),VLOOKUP("a",'Características dos Cabos'!$D$25:$L$29,3),IF(OR(M111="b",M111="c",N111="b",N111="c"),VLOOKUP("b",'Características dos Cabos'!$D$25:$L$29,3),IF(OR(M111="d",M111="e",N111="d",N111="e"),VLOOKUP("c",'Características dos Cabos'!$D$25:$L$29,3),IF(OR(M111="f",M111="g",M111="h",N111="f",N111="g",N111="h"),VLOOKUP("d",'Características dos Cabos'!$D$25:$L$29,3),IF(OR(M111="i",M111="j",M111="l",M111="m",N111="i",N111="j",N111="l",N111="m"),VLOOKUP("e",'Características dos Cabos'!$D$25:$L$29,3),"")))))</f>
        <v/>
      </c>
      <c r="V111" s="311" t="str">
        <f t="shared" si="23"/>
        <v/>
      </c>
      <c r="W111" s="284"/>
      <c r="X111" s="298">
        <f t="shared" si="19"/>
        <v>0</v>
      </c>
      <c r="Y111" s="298">
        <f t="shared" si="20"/>
        <v>0</v>
      </c>
      <c r="Z111" s="284"/>
    </row>
    <row r="112" spans="1:26" ht="15" customHeight="1" x14ac:dyDescent="0.25">
      <c r="A112" s="508"/>
      <c r="B112" s="511"/>
      <c r="C112" s="37"/>
      <c r="D112" s="33"/>
      <c r="E112" s="48"/>
      <c r="F112" s="102" t="str">
        <f t="shared" si="16"/>
        <v/>
      </c>
      <c r="G112" s="48"/>
      <c r="H112" s="306" t="str">
        <f>IF(AND(E112="",G112=""),"",SUM(F112:G114))</f>
        <v/>
      </c>
      <c r="J112" s="33"/>
      <c r="K112" s="33"/>
      <c r="L112" s="307" t="str">
        <f>IF(OR(J112="",K112=""),"",IF(J112="3",VLOOKUP(M112,'K% (Rede Convencional)'!$B$18:$M$29,8),(IF(J112="2",VLOOKUP(N112,'K% (Rede Convencional)'!$B$18:$M$29,9),(IF(J112="1",VLOOKUP(N112,'K% (Rede Convencional)'!$B$18:$M$29,10),(IF(J112="13",VLOOKUP(N112,'K% (Rede Convencional)'!$B$18:$M$29,11),(IF(J112="12",VLOOKUP(N112,'K% (Rede Convencional)'!$B$18:$M$29,12),0))))))))))</f>
        <v/>
      </c>
      <c r="M112" s="308" t="str">
        <f t="shared" si="17"/>
        <v/>
      </c>
      <c r="N112" s="308" t="str">
        <f>IF(K112="","",IF(K112="4 (4)","a",IF(OR(K112="2 (4)",K112="2 (2)"),VLOOKUP(K112,BT!$AE$21:$AF$22,2,FALSE),IF(OR(K112="1/0 (4)",K112="1/0 (2)"),VLOOKUP(K112,BT!$AE$24:$AF$25,2,FALSE),IF(OR(K112="4/0 (4)",K112="4/0 (2)",K112="4/0 (1/0)"),VLOOKUP(K112,BT!$AE$27:$AF$29,2,FALSE),IF(OR(K112="336,4 (4)",K112="336,4 (2)",K112="336,4 (1/0)",K112="336,4 (4/0)"),VLOOKUP(K112,BT!$AE$31:$AF$34,2,FALSE),0))))))</f>
        <v/>
      </c>
      <c r="O112" s="48"/>
      <c r="P112" s="309" t="str">
        <f t="shared" si="21"/>
        <v/>
      </c>
      <c r="Q112" s="309" t="str">
        <f>IF(P112="","",SUM($P$45:P112)+$W$105)</f>
        <v/>
      </c>
      <c r="R112" s="309" t="str">
        <f t="shared" si="22"/>
        <v/>
      </c>
      <c r="S112" s="310" t="str">
        <f>IF(OR(M112="a",N112="a"),VLOOKUP("a",'Características dos Cabos'!$D$25:$L$29,9),IF(OR(M112="b",M112="c",N112="b",N112="c"),VLOOKUP("b",'Características dos Cabos'!$D$25:$L$29,9),IF(OR(M112="d",M112="e",N112="d",N112="e"),VLOOKUP("c",'Características dos Cabos'!$D$25:$L$29,9),IF(OR(M112="f",M112="g",M112="h",N112="f",N112="g",N112="h"),VLOOKUP("d",'Características dos Cabos'!$D$25:$L$29,9),IF(OR(M112="i",M112="j",M112="l",M112="m",N112="i",N112="j",N112="l",N112="m"),VLOOKUP("e",'Características dos Cabos'!$D$25:$L$29,9),"")))))</f>
        <v/>
      </c>
      <c r="T112" s="309" t="str">
        <f t="shared" si="18"/>
        <v/>
      </c>
      <c r="U112" s="310" t="str">
        <f>IF(OR(M112="a",N112="a"),VLOOKUP("a",'Características dos Cabos'!$D$25:$L$29,3),IF(OR(M112="b",M112="c",N112="b",N112="c"),VLOOKUP("b",'Características dos Cabos'!$D$25:$L$29,3),IF(OR(M112="d",M112="e",N112="d",N112="e"),VLOOKUP("c",'Características dos Cabos'!$D$25:$L$29,3),IF(OR(M112="f",M112="g",M112="h",N112="f",N112="g",N112="h"),VLOOKUP("d",'Características dos Cabos'!$D$25:$L$29,3),IF(OR(M112="i",M112="j",M112="l",M112="m",N112="i",N112="j",N112="l",N112="m"),VLOOKUP("e",'Características dos Cabos'!$D$25:$L$29,3),"")))))</f>
        <v/>
      </c>
      <c r="V112" s="311" t="str">
        <f t="shared" si="23"/>
        <v/>
      </c>
      <c r="W112" s="284"/>
      <c r="X112" s="298">
        <f t="shared" si="19"/>
        <v>0</v>
      </c>
      <c r="Y112" s="298">
        <f t="shared" si="20"/>
        <v>0</v>
      </c>
      <c r="Z112" s="284"/>
    </row>
    <row r="113" spans="1:26" ht="15" customHeight="1" x14ac:dyDescent="0.25">
      <c r="A113" s="508"/>
      <c r="B113" s="511"/>
      <c r="C113" s="37"/>
      <c r="D113" s="33"/>
      <c r="E113" s="48"/>
      <c r="F113" s="102" t="str">
        <f t="shared" si="16"/>
        <v/>
      </c>
      <c r="G113" s="48"/>
      <c r="H113" s="306" t="str">
        <f>IF(AND(E113="",G113=""),"",SUM(F113:G114))</f>
        <v/>
      </c>
      <c r="J113" s="33"/>
      <c r="K113" s="33"/>
      <c r="L113" s="307" t="str">
        <f>IF(OR(J113="",K113=""),"",IF(J113="3",VLOOKUP(M113,'K% (Rede Convencional)'!$B$18:$M$29,8),(IF(J113="2",VLOOKUP(N113,'K% (Rede Convencional)'!$B$18:$M$29,9),(IF(J113="1",VLOOKUP(N113,'K% (Rede Convencional)'!$B$18:$M$29,10),(IF(J113="13",VLOOKUP(N113,'K% (Rede Convencional)'!$B$18:$M$29,11),(IF(J113="12",VLOOKUP(N113,'K% (Rede Convencional)'!$B$18:$M$29,12),0))))))))))</f>
        <v/>
      </c>
      <c r="M113" s="308" t="str">
        <f t="shared" si="17"/>
        <v/>
      </c>
      <c r="N113" s="308" t="str">
        <f>IF(K113="","",IF(K113="4 (4)","a",IF(OR(K113="2 (4)",K113="2 (2)"),VLOOKUP(K113,BT!$AE$21:$AF$22,2,FALSE),IF(OR(K113="1/0 (4)",K113="1/0 (2)"),VLOOKUP(K113,BT!$AE$24:$AF$25,2,FALSE),IF(OR(K113="4/0 (4)",K113="4/0 (2)",K113="4/0 (1/0)"),VLOOKUP(K113,BT!$AE$27:$AF$29,2,FALSE),IF(OR(K113="336,4 (4)",K113="336,4 (2)",K113="336,4 (1/0)",K113="336,4 (4/0)"),VLOOKUP(K113,BT!$AE$31:$AF$34,2,FALSE),0))))))</f>
        <v/>
      </c>
      <c r="O113" s="48"/>
      <c r="P113" s="309" t="str">
        <f t="shared" si="21"/>
        <v/>
      </c>
      <c r="Q113" s="309" t="str">
        <f>IF(P113="","",SUM($P$45:P113)+$W$105)</f>
        <v/>
      </c>
      <c r="R113" s="309" t="str">
        <f t="shared" si="22"/>
        <v/>
      </c>
      <c r="S113" s="310" t="str">
        <f>IF(OR(M113="a",N113="a"),VLOOKUP("a",'Características dos Cabos'!$D$25:$L$29,9),IF(OR(M113="b",M113="c",N113="b",N113="c"),VLOOKUP("b",'Características dos Cabos'!$D$25:$L$29,9),IF(OR(M113="d",M113="e",N113="d",N113="e"),VLOOKUP("c",'Características dos Cabos'!$D$25:$L$29,9),IF(OR(M113="f",M113="g",M113="h",N113="f",N113="g",N113="h"),VLOOKUP("d",'Características dos Cabos'!$D$25:$L$29,9),IF(OR(M113="i",M113="j",M113="l",M113="m",N113="i",N113="j",N113="l",N113="m"),VLOOKUP("e",'Características dos Cabos'!$D$25:$L$29,9),"")))))</f>
        <v/>
      </c>
      <c r="T113" s="309" t="str">
        <f t="shared" si="18"/>
        <v/>
      </c>
      <c r="U113" s="310" t="str">
        <f>IF(OR(M113="a",N113="a"),VLOOKUP("a",'Características dos Cabos'!$D$25:$L$29,3),IF(OR(M113="b",M113="c",N113="b",N113="c"),VLOOKUP("b",'Características dos Cabos'!$D$25:$L$29,3),IF(OR(M113="d",M113="e",N113="d",N113="e"),VLOOKUP("c",'Características dos Cabos'!$D$25:$L$29,3),IF(OR(M113="f",M113="g",M113="h",N113="f",N113="g",N113="h"),VLOOKUP("d",'Características dos Cabos'!$D$25:$L$29,3),IF(OR(M113="i",M113="j",M113="l",M113="m",N113="i",N113="j",N113="l",N113="m"),VLOOKUP("e",'Características dos Cabos'!$D$25:$L$29,3),"")))))</f>
        <v/>
      </c>
      <c r="V113" s="311" t="str">
        <f t="shared" si="23"/>
        <v/>
      </c>
      <c r="W113" s="284"/>
      <c r="X113" s="298">
        <f t="shared" si="19"/>
        <v>0</v>
      </c>
      <c r="Y113" s="298">
        <f t="shared" si="20"/>
        <v>0</v>
      </c>
      <c r="Z113" s="284"/>
    </row>
    <row r="114" spans="1:26" ht="15" customHeight="1" thickBot="1" x14ac:dyDescent="0.3">
      <c r="A114" s="508"/>
      <c r="B114" s="512"/>
      <c r="C114" s="55"/>
      <c r="D114" s="56"/>
      <c r="E114" s="57"/>
      <c r="F114" s="64" t="str">
        <f t="shared" si="16"/>
        <v/>
      </c>
      <c r="G114" s="57"/>
      <c r="H114" s="313" t="str">
        <f>IF(AND(E114="",G114=""),"",SUM(F114:G114))</f>
        <v/>
      </c>
      <c r="J114" s="56"/>
      <c r="K114" s="56"/>
      <c r="L114" s="314" t="str">
        <f>IF(OR(J114="",K114=""),"",IF(J114="3",VLOOKUP(M114,'K% (Rede Convencional)'!$B$18:$M$29,8),(IF(J114="2",VLOOKUP(N114,'K% (Rede Convencional)'!$B$18:$M$29,9),(IF(J114="1",VLOOKUP(N114,'K% (Rede Convencional)'!$B$18:$M$29,10),(IF(J114="13",VLOOKUP(N114,'K% (Rede Convencional)'!$B$18:$M$29,11),(IF(J114="12",VLOOKUP(N114,'K% (Rede Convencional)'!$B$18:$M$29,12),0))))))))))</f>
        <v/>
      </c>
      <c r="M114" s="315" t="str">
        <f t="shared" si="17"/>
        <v/>
      </c>
      <c r="N114" s="315" t="str">
        <f>IF(K114="","",IF(K114="4 (4)","a",IF(OR(K114="2 (4)",K114="2 (2)"),VLOOKUP(K114,BT!$AE$21:$AF$22,2,FALSE),IF(OR(K114="1/0 (4)",K114="1/0 (2)"),VLOOKUP(K114,BT!$AE$24:$AF$25,2,FALSE),IF(OR(K114="4/0 (4)",K114="4/0 (2)",K114="4/0 (1/0)"),VLOOKUP(K114,BT!$AE$27:$AF$29,2,FALSE),IF(OR(K114="336,4 (4)",K114="336,4 (2)",K114="336,4 (1/0)",K114="336,4 (4/0)"),VLOOKUP(K114,BT!$AE$31:$AF$34,2,FALSE),0))))))</f>
        <v/>
      </c>
      <c r="O114" s="57"/>
      <c r="P114" s="316" t="str">
        <f t="shared" si="21"/>
        <v/>
      </c>
      <c r="Q114" s="316" t="str">
        <f>IF(P114="","",SUM($P$45:P114)+$W$105)</f>
        <v/>
      </c>
      <c r="R114" s="316" t="str">
        <f t="shared" si="22"/>
        <v/>
      </c>
      <c r="S114" s="317" t="str">
        <f>IF(OR(M114="a",N114="a"),VLOOKUP("a",'Características dos Cabos'!$D$25:$L$29,9),IF(OR(M114="b",M114="c",N114="b",N114="c"),VLOOKUP("b",'Características dos Cabos'!$D$25:$L$29,9),IF(OR(M114="d",M114="e",N114="d",N114="e"),VLOOKUP("c",'Características dos Cabos'!$D$25:$L$29,9),IF(OR(M114="f",M114="g",M114="h",N114="f",N114="g",N114="h"),VLOOKUP("d",'Características dos Cabos'!$D$25:$L$29,9),IF(OR(M114="i",M114="j",M114="l",M114="m",N114="i",N114="j",N114="l",N114="m"),VLOOKUP("e",'Características dos Cabos'!$D$25:$L$29,9),"")))))</f>
        <v/>
      </c>
      <c r="T114" s="316" t="str">
        <f t="shared" si="18"/>
        <v/>
      </c>
      <c r="U114" s="317" t="str">
        <f>IF(OR(M114="a",N114="a"),VLOOKUP("a",'Características dos Cabos'!$D$25:$L$29,3),IF(OR(M114="b",M114="c",N114="b",N114="c"),VLOOKUP("b",'Características dos Cabos'!$D$25:$L$29,3),IF(OR(M114="d",M114="e",N114="d",N114="e"),VLOOKUP("c",'Características dos Cabos'!$D$25:$L$29,3),IF(OR(M114="f",M114="g",M114="h",N114="f",N114="g",N114="h"),VLOOKUP("d",'Características dos Cabos'!$D$25:$L$29,3),IF(OR(M114="i",M114="j",M114="l",M114="m",N114="i",N114="j",N114="l",N114="m"),VLOOKUP("e",'Características dos Cabos'!$D$25:$L$29,3),"")))))</f>
        <v/>
      </c>
      <c r="V114" s="318" t="str">
        <f t="shared" si="23"/>
        <v/>
      </c>
      <c r="W114" s="284"/>
      <c r="X114" s="298">
        <f t="shared" si="19"/>
        <v>0</v>
      </c>
      <c r="Y114" s="298">
        <f t="shared" si="20"/>
        <v>0</v>
      </c>
      <c r="Z114" s="284"/>
    </row>
    <row r="115" spans="1:26" ht="15" customHeight="1" thickTop="1" x14ac:dyDescent="0.25">
      <c r="A115" s="508"/>
      <c r="B115" s="510" t="str">
        <f>CONCATENATE("Ramal 8 - Derivando no ponto ",C115)</f>
        <v xml:space="preserve">Ramal 8 - Derivando no ponto </v>
      </c>
      <c r="C115" s="36"/>
      <c r="D115" s="35"/>
      <c r="E115" s="47"/>
      <c r="F115" s="102" t="str">
        <f t="shared" si="16"/>
        <v/>
      </c>
      <c r="G115" s="47"/>
      <c r="H115" s="320" t="str">
        <f>IF(AND(E115="",G115=""),"",SUM(F115:G124))</f>
        <v/>
      </c>
      <c r="J115" s="35"/>
      <c r="K115" s="35"/>
      <c r="L115" s="321" t="str">
        <f>IF(OR(J115="",K115=""),"",IF(J115="3",VLOOKUP(M115,'K% (Rede Convencional)'!$B$18:$M$29,8),(IF(J115="2",VLOOKUP(N115,'K% (Rede Convencional)'!$B$18:$M$29,9),(IF(J115="1",VLOOKUP(N115,'K% (Rede Convencional)'!$B$18:$M$29,10),(IF(J115="13",VLOOKUP(N115,'K% (Rede Convencional)'!$B$18:$M$29,11),(IF(J115="12",VLOOKUP(N115,'K% (Rede Convencional)'!$B$18:$M$29,12),0))))))))))</f>
        <v/>
      </c>
      <c r="M115" s="294" t="str">
        <f t="shared" si="17"/>
        <v/>
      </c>
      <c r="N115" s="294" t="str">
        <f>IF(K115="","",IF(K115="4 (4)","a",IF(OR(K115="2 (4)",K115="2 (2)"),VLOOKUP(K115,BT!$AE$21:$AF$22,2,FALSE),IF(OR(K115="1/0 (4)",K115="1/0 (2)"),VLOOKUP(K115,BT!$AE$24:$AF$25,2,FALSE),IF(OR(K115="4/0 (4)",K115="4/0 (2)",K115="4/0 (1/0)"),VLOOKUP(K115,BT!$AE$27:$AF$29,2,FALSE),IF(OR(K115="336,4 (4)",K115="336,4 (2)",K115="336,4 (1/0)",K115="336,4 (4/0)"),VLOOKUP(K115,BT!$AE$31:$AF$34,2,FALSE),0))))))</f>
        <v/>
      </c>
      <c r="O115" s="47"/>
      <c r="P115" s="322" t="str">
        <f t="shared" si="21"/>
        <v/>
      </c>
      <c r="Q115" s="322" t="str">
        <f>IF(P115="","",P115+VLOOKUP(C115,$D$21:$Q$43,13,FALSE))</f>
        <v/>
      </c>
      <c r="R115" s="322" t="str">
        <f t="shared" si="22"/>
        <v/>
      </c>
      <c r="S115" s="323" t="str">
        <f>IF(OR(M115="a",N115="a"),VLOOKUP("a",'Características dos Cabos'!$D$25:$L$29,9),IF(OR(M115="b",M115="c",N115="b",N115="c"),VLOOKUP("b",'Características dos Cabos'!$D$25:$L$29,9),IF(OR(M115="d",M115="e",N115="d",N115="e"),VLOOKUP("c",'Características dos Cabos'!$D$25:$L$29,9),IF(OR(M115="f",M115="g",M115="h",N115="f",N115="g",N115="h"),VLOOKUP("d",'Características dos Cabos'!$D$25:$L$29,9),IF(OR(M115="i",M115="j",M115="l",M115="m",N115="i",N115="j",N115="l",N115="m"),VLOOKUP("e",'Características dos Cabos'!$D$25:$L$29,9),"")))))</f>
        <v/>
      </c>
      <c r="T115" s="322" t="str">
        <f t="shared" si="18"/>
        <v/>
      </c>
      <c r="U115" s="323" t="str">
        <f>IF(OR(M115="a",N115="a"),VLOOKUP("a",'Características dos Cabos'!$D$25:$L$29,3),IF(OR(M115="b",M115="c",N115="b",N115="c"),VLOOKUP("b",'Características dos Cabos'!$D$25:$L$29,3),IF(OR(M115="d",M115="e",N115="d",N115="e"),VLOOKUP("c",'Características dos Cabos'!$D$25:$L$29,3),IF(OR(M115="f",M115="g",M115="h",N115="f",N115="g",N115="h"),VLOOKUP("d",'Características dos Cabos'!$D$25:$L$29,3),IF(OR(M115="i",M115="j",M115="l",M115="m",N115="i",N115="j",N115="l",N115="m"),VLOOKUP("e",'Características dos Cabos'!$D$25:$L$29,3),"")))))</f>
        <v/>
      </c>
      <c r="V115" s="324" t="str">
        <f t="shared" si="23"/>
        <v/>
      </c>
      <c r="W115" s="343" t="e">
        <f>VLOOKUP(C115,$D$21:$Q$43,12,FALSE)</f>
        <v>#N/A</v>
      </c>
      <c r="X115" s="298">
        <f t="shared" si="19"/>
        <v>0</v>
      </c>
      <c r="Y115" s="298">
        <f t="shared" si="20"/>
        <v>0</v>
      </c>
      <c r="Z115" s="284"/>
    </row>
    <row r="116" spans="1:26" ht="15" customHeight="1" x14ac:dyDescent="0.25">
      <c r="A116" s="508"/>
      <c r="B116" s="511"/>
      <c r="C116" s="37"/>
      <c r="D116" s="33"/>
      <c r="E116" s="48"/>
      <c r="F116" s="102" t="str">
        <f t="shared" si="16"/>
        <v/>
      </c>
      <c r="G116" s="48"/>
      <c r="H116" s="306" t="str">
        <f>IF(AND(E116="",G116=""),"",SUM(F116:G124))</f>
        <v/>
      </c>
      <c r="J116" s="33"/>
      <c r="K116" s="33"/>
      <c r="L116" s="307" t="str">
        <f>IF(OR(J116="",K116=""),"",IF(J116="3",VLOOKUP(M116,'K% (Rede Convencional)'!$B$18:$M$29,8),(IF(J116="2",VLOOKUP(N116,'K% (Rede Convencional)'!$B$18:$M$29,9),(IF(J116="1",VLOOKUP(N116,'K% (Rede Convencional)'!$B$18:$M$29,10),(IF(J116="13",VLOOKUP(N116,'K% (Rede Convencional)'!$B$18:$M$29,11),(IF(J116="12",VLOOKUP(N116,'K% (Rede Convencional)'!$B$18:$M$29,12),0))))))))))</f>
        <v/>
      </c>
      <c r="M116" s="308" t="str">
        <f t="shared" si="17"/>
        <v/>
      </c>
      <c r="N116" s="308" t="str">
        <f>IF(K116="","",IF(K116="4 (4)","a",IF(OR(K116="2 (4)",K116="2 (2)"),VLOOKUP(K116,BT!$AE$21:$AF$22,2,FALSE),IF(OR(K116="1/0 (4)",K116="1/0 (2)"),VLOOKUP(K116,BT!$AE$24:$AF$25,2,FALSE),IF(OR(K116="4/0 (4)",K116="4/0 (2)",K116="4/0 (1/0)"),VLOOKUP(K116,BT!$AE$27:$AF$29,2,FALSE),IF(OR(K116="336,4 (4)",K116="336,4 (2)",K116="336,4 (1/0)",K116="336,4 (4/0)"),VLOOKUP(K116,BT!$AE$31:$AF$34,2,FALSE),0))))))</f>
        <v/>
      </c>
      <c r="O116" s="48"/>
      <c r="P116" s="309" t="str">
        <f t="shared" si="21"/>
        <v/>
      </c>
      <c r="Q116" s="309" t="str">
        <f>IF(P116="","",SUM($P$45:P116)+$W$115)</f>
        <v/>
      </c>
      <c r="R116" s="309" t="str">
        <f t="shared" si="22"/>
        <v/>
      </c>
      <c r="S116" s="310" t="str">
        <f>IF(OR(M116="a",N116="a"),VLOOKUP("a",'Características dos Cabos'!$D$25:$L$29,9),IF(OR(M116="b",M116="c",N116="b",N116="c"),VLOOKUP("b",'Características dos Cabos'!$D$25:$L$29,9),IF(OR(M116="d",M116="e",N116="d",N116="e"),VLOOKUP("c",'Características dos Cabos'!$D$25:$L$29,9),IF(OR(M116="f",M116="g",M116="h",N116="f",N116="g",N116="h"),VLOOKUP("d",'Características dos Cabos'!$D$25:$L$29,9),IF(OR(M116="i",M116="j",M116="l",M116="m",N116="i",N116="j",N116="l",N116="m"),VLOOKUP("e",'Características dos Cabos'!$D$25:$L$29,9),"")))))</f>
        <v/>
      </c>
      <c r="T116" s="309" t="str">
        <f t="shared" si="18"/>
        <v/>
      </c>
      <c r="U116" s="310" t="str">
        <f>IF(OR(M116="a",N116="a"),VLOOKUP("a",'Características dos Cabos'!$D$25:$L$29,3),IF(OR(M116="b",M116="c",N116="b",N116="c"),VLOOKUP("b",'Características dos Cabos'!$D$25:$L$29,3),IF(OR(M116="d",M116="e",N116="d",N116="e"),VLOOKUP("c",'Características dos Cabos'!$D$25:$L$29,3),IF(OR(M116="f",M116="g",M116="h",N116="f",N116="g",N116="h"),VLOOKUP("d",'Características dos Cabos'!$D$25:$L$29,3),IF(OR(M116="i",M116="j",M116="l",M116="m",N116="i",N116="j",N116="l",N116="m"),VLOOKUP("e",'Características dos Cabos'!$D$25:$L$29,3),"")))))</f>
        <v/>
      </c>
      <c r="V116" s="311" t="str">
        <f t="shared" si="23"/>
        <v/>
      </c>
      <c r="W116" s="284"/>
      <c r="X116" s="298">
        <f t="shared" si="19"/>
        <v>0</v>
      </c>
      <c r="Y116" s="298">
        <f t="shared" si="20"/>
        <v>0</v>
      </c>
      <c r="Z116" s="284"/>
    </row>
    <row r="117" spans="1:26" ht="15" customHeight="1" x14ac:dyDescent="0.25">
      <c r="A117" s="508"/>
      <c r="B117" s="511"/>
      <c r="C117" s="37"/>
      <c r="D117" s="33"/>
      <c r="E117" s="48"/>
      <c r="F117" s="102" t="str">
        <f t="shared" si="16"/>
        <v/>
      </c>
      <c r="G117" s="48"/>
      <c r="H117" s="306" t="str">
        <f>IF(AND(E117="",G117=""),"",SUM(F117:G124))</f>
        <v/>
      </c>
      <c r="J117" s="33"/>
      <c r="K117" s="33"/>
      <c r="L117" s="307" t="str">
        <f>IF(OR(J117="",K117=""),"",IF(J117="3",VLOOKUP(M117,'K% (Rede Convencional)'!$B$18:$M$29,8),(IF(J117="2",VLOOKUP(N117,'K% (Rede Convencional)'!$B$18:$M$29,9),(IF(J117="1",VLOOKUP(N117,'K% (Rede Convencional)'!$B$18:$M$29,10),(IF(J117="13",VLOOKUP(N117,'K% (Rede Convencional)'!$B$18:$M$29,11),(IF(J117="12",VLOOKUP(N117,'K% (Rede Convencional)'!$B$18:$M$29,12),0))))))))))</f>
        <v/>
      </c>
      <c r="M117" s="308" t="str">
        <f t="shared" si="17"/>
        <v/>
      </c>
      <c r="N117" s="308" t="str">
        <f>IF(K117="","",IF(K117="4 (4)","a",IF(OR(K117="2 (4)",K117="2 (2)"),VLOOKUP(K117,BT!$AE$21:$AF$22,2,FALSE),IF(OR(K117="1/0 (4)",K117="1/0 (2)"),VLOOKUP(K117,BT!$AE$24:$AF$25,2,FALSE),IF(OR(K117="4/0 (4)",K117="4/0 (2)",K117="4/0 (1/0)"),VLOOKUP(K117,BT!$AE$27:$AF$29,2,FALSE),IF(OR(K117="336,4 (4)",K117="336,4 (2)",K117="336,4 (1/0)",K117="336,4 (4/0)"),VLOOKUP(K117,BT!$AE$31:$AF$34,2,FALSE),0))))))</f>
        <v/>
      </c>
      <c r="O117" s="48"/>
      <c r="P117" s="309" t="str">
        <f t="shared" si="21"/>
        <v/>
      </c>
      <c r="Q117" s="309" t="str">
        <f>IF(P117="","",SUM($P$45:P117)+$W$115)</f>
        <v/>
      </c>
      <c r="R117" s="309" t="str">
        <f t="shared" si="22"/>
        <v/>
      </c>
      <c r="S117" s="310" t="str">
        <f>IF(OR(M117="a",N117="a"),VLOOKUP("a",'Características dos Cabos'!$D$25:$L$29,9),IF(OR(M117="b",M117="c",N117="b",N117="c"),VLOOKUP("b",'Características dos Cabos'!$D$25:$L$29,9),IF(OR(M117="d",M117="e",N117="d",N117="e"),VLOOKUP("c",'Características dos Cabos'!$D$25:$L$29,9),IF(OR(M117="f",M117="g",M117="h",N117="f",N117="g",N117="h"),VLOOKUP("d",'Características dos Cabos'!$D$25:$L$29,9),IF(OR(M117="i",M117="j",M117="l",M117="m",N117="i",N117="j",N117="l",N117="m"),VLOOKUP("e",'Características dos Cabos'!$D$25:$L$29,9),"")))))</f>
        <v/>
      </c>
      <c r="T117" s="309" t="str">
        <f t="shared" si="18"/>
        <v/>
      </c>
      <c r="U117" s="310" t="str">
        <f>IF(OR(M117="a",N117="a"),VLOOKUP("a",'Características dos Cabos'!$D$25:$L$29,3),IF(OR(M117="b",M117="c",N117="b",N117="c"),VLOOKUP("b",'Características dos Cabos'!$D$25:$L$29,3),IF(OR(M117="d",M117="e",N117="d",N117="e"),VLOOKUP("c",'Características dos Cabos'!$D$25:$L$29,3),IF(OR(M117="f",M117="g",M117="h",N117="f",N117="g",N117="h"),VLOOKUP("d",'Características dos Cabos'!$D$25:$L$29,3),IF(OR(M117="i",M117="j",M117="l",M117="m",N117="i",N117="j",N117="l",N117="m"),VLOOKUP("e",'Características dos Cabos'!$D$25:$L$29,3),"")))))</f>
        <v/>
      </c>
      <c r="V117" s="311" t="str">
        <f t="shared" si="23"/>
        <v/>
      </c>
      <c r="W117" s="284"/>
      <c r="X117" s="298">
        <f t="shared" si="19"/>
        <v>0</v>
      </c>
      <c r="Y117" s="298">
        <f t="shared" si="20"/>
        <v>0</v>
      </c>
      <c r="Z117" s="284"/>
    </row>
    <row r="118" spans="1:26" ht="15" customHeight="1" x14ac:dyDescent="0.25">
      <c r="A118" s="508"/>
      <c r="B118" s="511"/>
      <c r="C118" s="37"/>
      <c r="D118" s="33"/>
      <c r="E118" s="48"/>
      <c r="F118" s="102" t="str">
        <f t="shared" si="16"/>
        <v/>
      </c>
      <c r="G118" s="48"/>
      <c r="H118" s="306" t="str">
        <f>IF(AND(E118="",G118=""),"",SUM(F118:G124))</f>
        <v/>
      </c>
      <c r="J118" s="33"/>
      <c r="K118" s="33"/>
      <c r="L118" s="307" t="str">
        <f>IF(OR(J118="",K118=""),"",IF(J118="3",VLOOKUP(M118,'K% (Rede Convencional)'!$B$18:$M$29,8),(IF(J118="2",VLOOKUP(N118,'K% (Rede Convencional)'!$B$18:$M$29,9),(IF(J118="1",VLOOKUP(N118,'K% (Rede Convencional)'!$B$18:$M$29,10),(IF(J118="13",VLOOKUP(N118,'K% (Rede Convencional)'!$B$18:$M$29,11),(IF(J118="12",VLOOKUP(N118,'K% (Rede Convencional)'!$B$18:$M$29,12),0))))))))))</f>
        <v/>
      </c>
      <c r="M118" s="308" t="str">
        <f t="shared" si="17"/>
        <v/>
      </c>
      <c r="N118" s="308" t="str">
        <f>IF(K118="","",IF(K118="4 (4)","a",IF(OR(K118="2 (4)",K118="2 (2)"),VLOOKUP(K118,BT!$AE$21:$AF$22,2,FALSE),IF(OR(K118="1/0 (4)",K118="1/0 (2)"),VLOOKUP(K118,BT!$AE$24:$AF$25,2,FALSE),IF(OR(K118="4/0 (4)",K118="4/0 (2)",K118="4/0 (1/0)"),VLOOKUP(K118,BT!$AE$27:$AF$29,2,FALSE),IF(OR(K118="336,4 (4)",K118="336,4 (2)",K118="336,4 (1/0)",K118="336,4 (4/0)"),VLOOKUP(K118,BT!$AE$31:$AF$34,2,FALSE),0))))))</f>
        <v/>
      </c>
      <c r="O118" s="48"/>
      <c r="P118" s="309" t="str">
        <f t="shared" si="21"/>
        <v/>
      </c>
      <c r="Q118" s="309" t="str">
        <f>IF(P118="","",SUM($P$45:P118)+$W$115)</f>
        <v/>
      </c>
      <c r="R118" s="309" t="str">
        <f t="shared" si="22"/>
        <v/>
      </c>
      <c r="S118" s="310" t="str">
        <f>IF(OR(M118="a",N118="a"),VLOOKUP("a",'Características dos Cabos'!$D$25:$L$29,9),IF(OR(M118="b",M118="c",N118="b",N118="c"),VLOOKUP("b",'Características dos Cabos'!$D$25:$L$29,9),IF(OR(M118="d",M118="e",N118="d",N118="e"),VLOOKUP("c",'Características dos Cabos'!$D$25:$L$29,9),IF(OR(M118="f",M118="g",M118="h",N118="f",N118="g",N118="h"),VLOOKUP("d",'Características dos Cabos'!$D$25:$L$29,9),IF(OR(M118="i",M118="j",M118="l",M118="m",N118="i",N118="j",N118="l",N118="m"),VLOOKUP("e",'Características dos Cabos'!$D$25:$L$29,9),"")))))</f>
        <v/>
      </c>
      <c r="T118" s="309" t="str">
        <f t="shared" si="18"/>
        <v/>
      </c>
      <c r="U118" s="310" t="str">
        <f>IF(OR(M118="a",N118="a"),VLOOKUP("a",'Características dos Cabos'!$D$25:$L$29,3),IF(OR(M118="b",M118="c",N118="b",N118="c"),VLOOKUP("b",'Características dos Cabos'!$D$25:$L$29,3),IF(OR(M118="d",M118="e",N118="d",N118="e"),VLOOKUP("c",'Características dos Cabos'!$D$25:$L$29,3),IF(OR(M118="f",M118="g",M118="h",N118="f",N118="g",N118="h"),VLOOKUP("d",'Características dos Cabos'!$D$25:$L$29,3),IF(OR(M118="i",M118="j",M118="l",M118="m",N118="i",N118="j",N118="l",N118="m"),VLOOKUP("e",'Características dos Cabos'!$D$25:$L$29,3),"")))))</f>
        <v/>
      </c>
      <c r="V118" s="311" t="str">
        <f t="shared" si="23"/>
        <v/>
      </c>
      <c r="W118" s="284"/>
      <c r="X118" s="298">
        <f t="shared" si="19"/>
        <v>0</v>
      </c>
      <c r="Y118" s="298">
        <f t="shared" si="20"/>
        <v>0</v>
      </c>
      <c r="Z118" s="284"/>
    </row>
    <row r="119" spans="1:26" ht="15" customHeight="1" x14ac:dyDescent="0.25">
      <c r="A119" s="508"/>
      <c r="B119" s="511"/>
      <c r="C119" s="37"/>
      <c r="D119" s="33"/>
      <c r="E119" s="48"/>
      <c r="F119" s="102" t="str">
        <f t="shared" si="16"/>
        <v/>
      </c>
      <c r="G119" s="48"/>
      <c r="H119" s="306" t="str">
        <f>IF(AND(E119="",G119=""),"",SUM(F119:G124))</f>
        <v/>
      </c>
      <c r="J119" s="33"/>
      <c r="K119" s="33"/>
      <c r="L119" s="307" t="str">
        <f>IF(OR(J119="",K119=""),"",IF(J119="3",VLOOKUP(M119,'K% (Rede Convencional)'!$B$18:$M$29,8),(IF(J119="2",VLOOKUP(N119,'K% (Rede Convencional)'!$B$18:$M$29,9),(IF(J119="1",VLOOKUP(N119,'K% (Rede Convencional)'!$B$18:$M$29,10),(IF(J119="13",VLOOKUP(N119,'K% (Rede Convencional)'!$B$18:$M$29,11),(IF(J119="12",VLOOKUP(N119,'K% (Rede Convencional)'!$B$18:$M$29,12),0))))))))))</f>
        <v/>
      </c>
      <c r="M119" s="308" t="str">
        <f t="shared" si="17"/>
        <v/>
      </c>
      <c r="N119" s="308" t="str">
        <f>IF(K119="","",IF(K119="4 (4)","a",IF(OR(K119="2 (4)",K119="2 (2)"),VLOOKUP(K119,BT!$AE$21:$AF$22,2,FALSE),IF(OR(K119="1/0 (4)",K119="1/0 (2)"),VLOOKUP(K119,BT!$AE$24:$AF$25,2,FALSE),IF(OR(K119="4/0 (4)",K119="4/0 (2)",K119="4/0 (1/0)"),VLOOKUP(K119,BT!$AE$27:$AF$29,2,FALSE),IF(OR(K119="336,4 (4)",K119="336,4 (2)",K119="336,4 (1/0)",K119="336,4 (4/0)"),VLOOKUP(K119,BT!$AE$31:$AF$34,2,FALSE),0))))))</f>
        <v/>
      </c>
      <c r="O119" s="48"/>
      <c r="P119" s="309" t="str">
        <f t="shared" si="21"/>
        <v/>
      </c>
      <c r="Q119" s="309" t="str">
        <f>IF(P119="","",SUM($P$45:P119)+$W$115)</f>
        <v/>
      </c>
      <c r="R119" s="309" t="str">
        <f t="shared" si="22"/>
        <v/>
      </c>
      <c r="S119" s="310" t="str">
        <f>IF(OR(M119="a",N119="a"),VLOOKUP("a",'Características dos Cabos'!$D$25:$L$29,9),IF(OR(M119="b",M119="c",N119="b",N119="c"),VLOOKUP("b",'Características dos Cabos'!$D$25:$L$29,9),IF(OR(M119="d",M119="e",N119="d",N119="e"),VLOOKUP("c",'Características dos Cabos'!$D$25:$L$29,9),IF(OR(M119="f",M119="g",M119="h",N119="f",N119="g",N119="h"),VLOOKUP("d",'Características dos Cabos'!$D$25:$L$29,9),IF(OR(M119="i",M119="j",M119="l",M119="m",N119="i",N119="j",N119="l",N119="m"),VLOOKUP("e",'Características dos Cabos'!$D$25:$L$29,9),"")))))</f>
        <v/>
      </c>
      <c r="T119" s="309" t="str">
        <f t="shared" si="18"/>
        <v/>
      </c>
      <c r="U119" s="310" t="str">
        <f>IF(OR(M119="a",N119="a"),VLOOKUP("a",'Características dos Cabos'!$D$25:$L$29,3),IF(OR(M119="b",M119="c",N119="b",N119="c"),VLOOKUP("b",'Características dos Cabos'!$D$25:$L$29,3),IF(OR(M119="d",M119="e",N119="d",N119="e"),VLOOKUP("c",'Características dos Cabos'!$D$25:$L$29,3),IF(OR(M119="f",M119="g",M119="h",N119="f",N119="g",N119="h"),VLOOKUP("d",'Características dos Cabos'!$D$25:$L$29,3),IF(OR(M119="i",M119="j",M119="l",M119="m",N119="i",N119="j",N119="l",N119="m"),VLOOKUP("e",'Características dos Cabos'!$D$25:$L$29,3),"")))))</f>
        <v/>
      </c>
      <c r="V119" s="311" t="str">
        <f t="shared" si="23"/>
        <v/>
      </c>
      <c r="W119" s="284"/>
      <c r="X119" s="298">
        <f t="shared" si="19"/>
        <v>0</v>
      </c>
      <c r="Y119" s="298">
        <f t="shared" si="20"/>
        <v>0</v>
      </c>
      <c r="Z119" s="284"/>
    </row>
    <row r="120" spans="1:26" ht="15" customHeight="1" x14ac:dyDescent="0.25">
      <c r="A120" s="508"/>
      <c r="B120" s="511"/>
      <c r="C120" s="37"/>
      <c r="D120" s="33"/>
      <c r="E120" s="48"/>
      <c r="F120" s="102" t="str">
        <f t="shared" si="16"/>
        <v/>
      </c>
      <c r="G120" s="48"/>
      <c r="H120" s="306" t="str">
        <f>IF(AND(E120="",G120=""),"",SUM(F120:G124))</f>
        <v/>
      </c>
      <c r="J120" s="33"/>
      <c r="K120" s="33"/>
      <c r="L120" s="307" t="str">
        <f>IF(OR(J120="",K120=""),"",IF(J120="3",VLOOKUP(M120,'K% (Rede Convencional)'!$B$18:$M$29,8),(IF(J120="2",VLOOKUP(N120,'K% (Rede Convencional)'!$B$18:$M$29,9),(IF(J120="1",VLOOKUP(N120,'K% (Rede Convencional)'!$B$18:$M$29,10),(IF(J120="13",VLOOKUP(N120,'K% (Rede Convencional)'!$B$18:$M$29,11),(IF(J120="12",VLOOKUP(N120,'K% (Rede Convencional)'!$B$18:$M$29,12),0))))))))))</f>
        <v/>
      </c>
      <c r="M120" s="308" t="str">
        <f t="shared" si="17"/>
        <v/>
      </c>
      <c r="N120" s="308" t="str">
        <f>IF(K120="","",IF(K120="4 (4)","a",IF(OR(K120="2 (4)",K120="2 (2)"),VLOOKUP(K120,BT!$AE$21:$AF$22,2,FALSE),IF(OR(K120="1/0 (4)",K120="1/0 (2)"),VLOOKUP(K120,BT!$AE$24:$AF$25,2,FALSE),IF(OR(K120="4/0 (4)",K120="4/0 (2)",K120="4/0 (1/0)"),VLOOKUP(K120,BT!$AE$27:$AF$29,2,FALSE),IF(OR(K120="336,4 (4)",K120="336,4 (2)",K120="336,4 (1/0)",K120="336,4 (4/0)"),VLOOKUP(K120,BT!$AE$31:$AF$34,2,FALSE),0))))))</f>
        <v/>
      </c>
      <c r="O120" s="48"/>
      <c r="P120" s="309" t="str">
        <f t="shared" si="21"/>
        <v/>
      </c>
      <c r="Q120" s="309" t="str">
        <f>IF(P120="","",SUM($P$45:P120)+$W$115)</f>
        <v/>
      </c>
      <c r="R120" s="309" t="str">
        <f t="shared" si="22"/>
        <v/>
      </c>
      <c r="S120" s="310" t="str">
        <f>IF(OR(M120="a",N120="a"),VLOOKUP("a",'Características dos Cabos'!$D$25:$L$29,9),IF(OR(M120="b",M120="c",N120="b",N120="c"),VLOOKUP("b",'Características dos Cabos'!$D$25:$L$29,9),IF(OR(M120="d",M120="e",N120="d",N120="e"),VLOOKUP("c",'Características dos Cabos'!$D$25:$L$29,9),IF(OR(M120="f",M120="g",M120="h",N120="f",N120="g",N120="h"),VLOOKUP("d",'Características dos Cabos'!$D$25:$L$29,9),IF(OR(M120="i",M120="j",M120="l",M120="m",N120="i",N120="j",N120="l",N120="m"),VLOOKUP("e",'Características dos Cabos'!$D$25:$L$29,9),"")))))</f>
        <v/>
      </c>
      <c r="T120" s="309" t="str">
        <f t="shared" si="18"/>
        <v/>
      </c>
      <c r="U120" s="310" t="str">
        <f>IF(OR(M120="a",N120="a"),VLOOKUP("a",'Características dos Cabos'!$D$25:$L$29,3),IF(OR(M120="b",M120="c",N120="b",N120="c"),VLOOKUP("b",'Características dos Cabos'!$D$25:$L$29,3),IF(OR(M120="d",M120="e",N120="d",N120="e"),VLOOKUP("c",'Características dos Cabos'!$D$25:$L$29,3),IF(OR(M120="f",M120="g",M120="h",N120="f",N120="g",N120="h"),VLOOKUP("d",'Características dos Cabos'!$D$25:$L$29,3),IF(OR(M120="i",M120="j",M120="l",M120="m",N120="i",N120="j",N120="l",N120="m"),VLOOKUP("e",'Características dos Cabos'!$D$25:$L$29,3),"")))))</f>
        <v/>
      </c>
      <c r="V120" s="311" t="str">
        <f t="shared" si="23"/>
        <v/>
      </c>
      <c r="W120" s="284"/>
      <c r="X120" s="298">
        <f t="shared" si="19"/>
        <v>0</v>
      </c>
      <c r="Y120" s="298">
        <f t="shared" si="20"/>
        <v>0</v>
      </c>
      <c r="Z120" s="284"/>
    </row>
    <row r="121" spans="1:26" ht="15" customHeight="1" x14ac:dyDescent="0.25">
      <c r="A121" s="508"/>
      <c r="B121" s="511"/>
      <c r="C121" s="37"/>
      <c r="D121" s="33"/>
      <c r="E121" s="48"/>
      <c r="F121" s="102" t="str">
        <f t="shared" si="16"/>
        <v/>
      </c>
      <c r="G121" s="48"/>
      <c r="H121" s="306" t="str">
        <f>IF(AND(E121="",G121=""),"",SUM(F121:G124))</f>
        <v/>
      </c>
      <c r="J121" s="33"/>
      <c r="K121" s="33"/>
      <c r="L121" s="307" t="str">
        <f>IF(OR(J121="",K121=""),"",IF(J121="3",VLOOKUP(M121,'K% (Rede Convencional)'!$B$18:$M$29,8),(IF(J121="2",VLOOKUP(N121,'K% (Rede Convencional)'!$B$18:$M$29,9),(IF(J121="1",VLOOKUP(N121,'K% (Rede Convencional)'!$B$18:$M$29,10),(IF(J121="13",VLOOKUP(N121,'K% (Rede Convencional)'!$B$18:$M$29,11),(IF(J121="12",VLOOKUP(N121,'K% (Rede Convencional)'!$B$18:$M$29,12),0))))))))))</f>
        <v/>
      </c>
      <c r="M121" s="308" t="str">
        <f t="shared" si="17"/>
        <v/>
      </c>
      <c r="N121" s="308" t="str">
        <f>IF(K121="","",IF(K121="4 (4)","a",IF(OR(K121="2 (4)",K121="2 (2)"),VLOOKUP(K121,BT!$AE$21:$AF$22,2,FALSE),IF(OR(K121="1/0 (4)",K121="1/0 (2)"),VLOOKUP(K121,BT!$AE$24:$AF$25,2,FALSE),IF(OR(K121="4/0 (4)",K121="4/0 (2)",K121="4/0 (1/0)"),VLOOKUP(K121,BT!$AE$27:$AF$29,2,FALSE),IF(OR(K121="336,4 (4)",K121="336,4 (2)",K121="336,4 (1/0)",K121="336,4 (4/0)"),VLOOKUP(K121,BT!$AE$31:$AF$34,2,FALSE),0))))))</f>
        <v/>
      </c>
      <c r="O121" s="48"/>
      <c r="P121" s="309" t="str">
        <f t="shared" si="21"/>
        <v/>
      </c>
      <c r="Q121" s="309" t="str">
        <f>IF(P121="","",SUM($P$45:P121)+$W$115)</f>
        <v/>
      </c>
      <c r="R121" s="309" t="str">
        <f t="shared" si="22"/>
        <v/>
      </c>
      <c r="S121" s="310" t="str">
        <f>IF(OR(M121="a",N121="a"),VLOOKUP("a",'Características dos Cabos'!$D$25:$L$29,9),IF(OR(M121="b",M121="c",N121="b",N121="c"),VLOOKUP("b",'Características dos Cabos'!$D$25:$L$29,9),IF(OR(M121="d",M121="e",N121="d",N121="e"),VLOOKUP("c",'Características dos Cabos'!$D$25:$L$29,9),IF(OR(M121="f",M121="g",M121="h",N121="f",N121="g",N121="h"),VLOOKUP("d",'Características dos Cabos'!$D$25:$L$29,9),IF(OR(M121="i",M121="j",M121="l",M121="m",N121="i",N121="j",N121="l",N121="m"),VLOOKUP("e",'Características dos Cabos'!$D$25:$L$29,9),"")))))</f>
        <v/>
      </c>
      <c r="T121" s="309" t="str">
        <f t="shared" si="18"/>
        <v/>
      </c>
      <c r="U121" s="310" t="str">
        <f>IF(OR(M121="a",N121="a"),VLOOKUP("a",'Características dos Cabos'!$D$25:$L$29,3),IF(OR(M121="b",M121="c",N121="b",N121="c"),VLOOKUP("b",'Características dos Cabos'!$D$25:$L$29,3),IF(OR(M121="d",M121="e",N121="d",N121="e"),VLOOKUP("c",'Características dos Cabos'!$D$25:$L$29,3),IF(OR(M121="f",M121="g",M121="h",N121="f",N121="g",N121="h"),VLOOKUP("d",'Características dos Cabos'!$D$25:$L$29,3),IF(OR(M121="i",M121="j",M121="l",M121="m",N121="i",N121="j",N121="l",N121="m"),VLOOKUP("e",'Características dos Cabos'!$D$25:$L$29,3),"")))))</f>
        <v/>
      </c>
      <c r="V121" s="311" t="str">
        <f t="shared" si="23"/>
        <v/>
      </c>
      <c r="W121" s="284"/>
      <c r="X121" s="298">
        <f t="shared" si="19"/>
        <v>0</v>
      </c>
      <c r="Y121" s="298">
        <f t="shared" si="20"/>
        <v>0</v>
      </c>
      <c r="Z121" s="284"/>
    </row>
    <row r="122" spans="1:26" ht="15" customHeight="1" x14ac:dyDescent="0.25">
      <c r="A122" s="508"/>
      <c r="B122" s="511"/>
      <c r="C122" s="37"/>
      <c r="D122" s="33"/>
      <c r="E122" s="48"/>
      <c r="F122" s="102" t="str">
        <f t="shared" si="16"/>
        <v/>
      </c>
      <c r="G122" s="48"/>
      <c r="H122" s="306" t="str">
        <f>IF(AND(E122="",G122=""),"",SUM(F122:G124))</f>
        <v/>
      </c>
      <c r="J122" s="33"/>
      <c r="K122" s="33"/>
      <c r="L122" s="307" t="str">
        <f>IF(OR(J122="",K122=""),"",IF(J122="3",VLOOKUP(M122,'K% (Rede Convencional)'!$B$18:$M$29,8),(IF(J122="2",VLOOKUP(N122,'K% (Rede Convencional)'!$B$18:$M$29,9),(IF(J122="1",VLOOKUP(N122,'K% (Rede Convencional)'!$B$18:$M$29,10),(IF(J122="13",VLOOKUP(N122,'K% (Rede Convencional)'!$B$18:$M$29,11),(IF(J122="12",VLOOKUP(N122,'K% (Rede Convencional)'!$B$18:$M$29,12),0))))))))))</f>
        <v/>
      </c>
      <c r="M122" s="308" t="str">
        <f t="shared" si="17"/>
        <v/>
      </c>
      <c r="N122" s="308" t="str">
        <f>IF(K122="","",IF(K122="4 (4)","a",IF(OR(K122="2 (4)",K122="2 (2)"),VLOOKUP(K122,BT!$AE$21:$AF$22,2,FALSE),IF(OR(K122="1/0 (4)",K122="1/0 (2)"),VLOOKUP(K122,BT!$AE$24:$AF$25,2,FALSE),IF(OR(K122="4/0 (4)",K122="4/0 (2)",K122="4/0 (1/0)"),VLOOKUP(K122,BT!$AE$27:$AF$29,2,FALSE),IF(OR(K122="336,4 (4)",K122="336,4 (2)",K122="336,4 (1/0)",K122="336,4 (4/0)"),VLOOKUP(K122,BT!$AE$31:$AF$34,2,FALSE),0))))))</f>
        <v/>
      </c>
      <c r="O122" s="48"/>
      <c r="P122" s="309" t="str">
        <f t="shared" si="21"/>
        <v/>
      </c>
      <c r="Q122" s="309" t="str">
        <f>IF(P122="","",SUM($P$45:P122)+$W$115)</f>
        <v/>
      </c>
      <c r="R122" s="309" t="str">
        <f t="shared" si="22"/>
        <v/>
      </c>
      <c r="S122" s="310" t="str">
        <f>IF(OR(M122="a",N122="a"),VLOOKUP("a",'Características dos Cabos'!$D$25:$L$29,9),IF(OR(M122="b",M122="c",N122="b",N122="c"),VLOOKUP("b",'Características dos Cabos'!$D$25:$L$29,9),IF(OR(M122="d",M122="e",N122="d",N122="e"),VLOOKUP("c",'Características dos Cabos'!$D$25:$L$29,9),IF(OR(M122="f",M122="g",M122="h",N122="f",N122="g",N122="h"),VLOOKUP("d",'Características dos Cabos'!$D$25:$L$29,9),IF(OR(M122="i",M122="j",M122="l",M122="m",N122="i",N122="j",N122="l",N122="m"),VLOOKUP("e",'Características dos Cabos'!$D$25:$L$29,9),"")))))</f>
        <v/>
      </c>
      <c r="T122" s="309" t="str">
        <f t="shared" si="18"/>
        <v/>
      </c>
      <c r="U122" s="310" t="str">
        <f>IF(OR(M122="a",N122="a"),VLOOKUP("a",'Características dos Cabos'!$D$25:$L$29,3),IF(OR(M122="b",M122="c",N122="b",N122="c"),VLOOKUP("b",'Características dos Cabos'!$D$25:$L$29,3),IF(OR(M122="d",M122="e",N122="d",N122="e"),VLOOKUP("c",'Características dos Cabos'!$D$25:$L$29,3),IF(OR(M122="f",M122="g",M122="h",N122="f",N122="g",N122="h"),VLOOKUP("d",'Características dos Cabos'!$D$25:$L$29,3),IF(OR(M122="i",M122="j",M122="l",M122="m",N122="i",N122="j",N122="l",N122="m"),VLOOKUP("e",'Características dos Cabos'!$D$25:$L$29,3),"")))))</f>
        <v/>
      </c>
      <c r="V122" s="311" t="str">
        <f t="shared" si="23"/>
        <v/>
      </c>
      <c r="W122" s="284"/>
      <c r="X122" s="298">
        <f t="shared" si="19"/>
        <v>0</v>
      </c>
      <c r="Y122" s="298">
        <f t="shared" si="20"/>
        <v>0</v>
      </c>
      <c r="Z122" s="284"/>
    </row>
    <row r="123" spans="1:26" ht="15" customHeight="1" x14ac:dyDescent="0.25">
      <c r="A123" s="508"/>
      <c r="B123" s="511"/>
      <c r="C123" s="37"/>
      <c r="D123" s="33"/>
      <c r="E123" s="48"/>
      <c r="F123" s="102" t="str">
        <f t="shared" si="16"/>
        <v/>
      </c>
      <c r="G123" s="48"/>
      <c r="H123" s="306" t="str">
        <f>IF(AND(E123="",G123=""),"",SUM(F123:G124))</f>
        <v/>
      </c>
      <c r="J123" s="33"/>
      <c r="K123" s="33"/>
      <c r="L123" s="307" t="str">
        <f>IF(OR(J123="",K123=""),"",IF(J123="3",VLOOKUP(M123,'K% (Rede Convencional)'!$B$18:$M$29,8),(IF(J123="2",VLOOKUP(N123,'K% (Rede Convencional)'!$B$18:$M$29,9),(IF(J123="1",VLOOKUP(N123,'K% (Rede Convencional)'!$B$18:$M$29,10),(IF(J123="13",VLOOKUP(N123,'K% (Rede Convencional)'!$B$18:$M$29,11),(IF(J123="12",VLOOKUP(N123,'K% (Rede Convencional)'!$B$18:$M$29,12),0))))))))))</f>
        <v/>
      </c>
      <c r="M123" s="308" t="str">
        <f t="shared" si="17"/>
        <v/>
      </c>
      <c r="N123" s="308" t="str">
        <f>IF(K123="","",IF(K123="4 (4)","a",IF(OR(K123="2 (4)",K123="2 (2)"),VLOOKUP(K123,BT!$AE$21:$AF$22,2,FALSE),IF(OR(K123="1/0 (4)",K123="1/0 (2)"),VLOOKUP(K123,BT!$AE$24:$AF$25,2,FALSE),IF(OR(K123="4/0 (4)",K123="4/0 (2)",K123="4/0 (1/0)"),VLOOKUP(K123,BT!$AE$27:$AF$29,2,FALSE),IF(OR(K123="336,4 (4)",K123="336,4 (2)",K123="336,4 (1/0)",K123="336,4 (4/0)"),VLOOKUP(K123,BT!$AE$31:$AF$34,2,FALSE),0))))))</f>
        <v/>
      </c>
      <c r="O123" s="48"/>
      <c r="P123" s="309" t="str">
        <f t="shared" si="21"/>
        <v/>
      </c>
      <c r="Q123" s="309" t="str">
        <f>IF(P123="","",SUM($P$45:P123)+$W$115)</f>
        <v/>
      </c>
      <c r="R123" s="309" t="str">
        <f t="shared" si="22"/>
        <v/>
      </c>
      <c r="S123" s="310" t="str">
        <f>IF(OR(M123="a",N123="a"),VLOOKUP("a",'Características dos Cabos'!$D$25:$L$29,9),IF(OR(M123="b",M123="c",N123="b",N123="c"),VLOOKUP("b",'Características dos Cabos'!$D$25:$L$29,9),IF(OR(M123="d",M123="e",N123="d",N123="e"),VLOOKUP("c",'Características dos Cabos'!$D$25:$L$29,9),IF(OR(M123="f",M123="g",M123="h",N123="f",N123="g",N123="h"),VLOOKUP("d",'Características dos Cabos'!$D$25:$L$29,9),IF(OR(M123="i",M123="j",M123="l",M123="m",N123="i",N123="j",N123="l",N123="m"),VLOOKUP("e",'Características dos Cabos'!$D$25:$L$29,9),"")))))</f>
        <v/>
      </c>
      <c r="T123" s="309" t="str">
        <f t="shared" si="18"/>
        <v/>
      </c>
      <c r="U123" s="310" t="str">
        <f>IF(OR(M123="a",N123="a"),VLOOKUP("a",'Características dos Cabos'!$D$25:$L$29,3),IF(OR(M123="b",M123="c",N123="b",N123="c"),VLOOKUP("b",'Características dos Cabos'!$D$25:$L$29,3),IF(OR(M123="d",M123="e",N123="d",N123="e"),VLOOKUP("c",'Características dos Cabos'!$D$25:$L$29,3),IF(OR(M123="f",M123="g",M123="h",N123="f",N123="g",N123="h"),VLOOKUP("d",'Características dos Cabos'!$D$25:$L$29,3),IF(OR(M123="i",M123="j",M123="l",M123="m",N123="i",N123="j",N123="l",N123="m"),VLOOKUP("e",'Características dos Cabos'!$D$25:$L$29,3),"")))))</f>
        <v/>
      </c>
      <c r="V123" s="311" t="str">
        <f t="shared" si="23"/>
        <v/>
      </c>
      <c r="W123" s="284"/>
      <c r="X123" s="298">
        <f t="shared" si="19"/>
        <v>0</v>
      </c>
      <c r="Y123" s="298">
        <f t="shared" si="20"/>
        <v>0</v>
      </c>
      <c r="Z123" s="284"/>
    </row>
    <row r="124" spans="1:26" ht="15" customHeight="1" thickBot="1" x14ac:dyDescent="0.3">
      <c r="A124" s="508"/>
      <c r="B124" s="512"/>
      <c r="C124" s="38"/>
      <c r="D124" s="34"/>
      <c r="E124" s="49"/>
      <c r="F124" s="64" t="str">
        <f t="shared" si="16"/>
        <v/>
      </c>
      <c r="G124" s="49"/>
      <c r="H124" s="328" t="str">
        <f>IF(AND(E124="",G124=""),"",SUM(F124:G124))</f>
        <v/>
      </c>
      <c r="J124" s="34"/>
      <c r="K124" s="34"/>
      <c r="L124" s="329" t="str">
        <f>IF(OR(J124="",K124=""),"",IF(J124="3",VLOOKUP(M124,'K% (Rede Convencional)'!$B$18:$M$29,8),(IF(J124="2",VLOOKUP(N124,'K% (Rede Convencional)'!$B$18:$M$29,9),(IF(J124="1",VLOOKUP(N124,'K% (Rede Convencional)'!$B$18:$M$29,10),(IF(J124="13",VLOOKUP(N124,'K% (Rede Convencional)'!$B$18:$M$29,11),(IF(J124="12",VLOOKUP(N124,'K% (Rede Convencional)'!$B$18:$M$29,12),0))))))))))</f>
        <v/>
      </c>
      <c r="M124" s="330" t="str">
        <f t="shared" si="17"/>
        <v/>
      </c>
      <c r="N124" s="330" t="str">
        <f>IF(K124="","",IF(K124="4 (4)","a",IF(OR(K124="2 (4)",K124="2 (2)"),VLOOKUP(K124,BT!$AE$21:$AF$22,2,FALSE),IF(OR(K124="1/0 (4)",K124="1/0 (2)"),VLOOKUP(K124,BT!$AE$24:$AF$25,2,FALSE),IF(OR(K124="4/0 (4)",K124="4/0 (2)",K124="4/0 (1/0)"),VLOOKUP(K124,BT!$AE$27:$AF$29,2,FALSE),IF(OR(K124="336,4 (4)",K124="336,4 (2)",K124="336,4 (1/0)",K124="336,4 (4/0)"),VLOOKUP(K124,BT!$AE$31:$AF$34,2,FALSE),0))))))</f>
        <v/>
      </c>
      <c r="O124" s="49"/>
      <c r="P124" s="331" t="str">
        <f t="shared" si="21"/>
        <v/>
      </c>
      <c r="Q124" s="331" t="str">
        <f>IF(P124="","",SUM($P$45:P124)+$W$115)</f>
        <v/>
      </c>
      <c r="R124" s="331" t="str">
        <f t="shared" si="22"/>
        <v/>
      </c>
      <c r="S124" s="332" t="str">
        <f>IF(N124="a",VLOOKUP("a",#REF!,9),IF(OR(N124="b",N124="c"),VLOOKUP("b",#REF!,9),IF(OR(N124="d",N124="e"),VLOOKUP("c",#REF!,9),IF(OR(N124="f",N124="g",N124="h"),VLOOKUP("d",#REF!,9),IF(OR(N124="i",N124="j",N124="l",N124="m"),VLOOKUP("e",#REF!,9),"")))))</f>
        <v/>
      </c>
      <c r="T124" s="331" t="str">
        <f t="shared" si="18"/>
        <v/>
      </c>
      <c r="U124" s="332" t="str">
        <f>IF(OR(M124="a",N124="a"),VLOOKUP("a",'Características dos Cabos'!$D$25:$L$29,3),IF(OR(M124="b",M124="c",N124="b",N124="c"),VLOOKUP("b",'Características dos Cabos'!$D$25:$L$29,3),IF(OR(M124="d",M124="e",N124="d",N124="e"),VLOOKUP("c",'Características dos Cabos'!$D$25:$L$29,3),IF(OR(M124="f",M124="g",M124="h",N124="f",N124="g",N124="h"),VLOOKUP("d",'Características dos Cabos'!$D$25:$L$29,3),IF(OR(M124="i",M124="j",M124="l",M124="m",N124="i",N124="j",N124="l",N124="m"),VLOOKUP("e",'Características dos Cabos'!$D$25:$L$29,3),"")))))</f>
        <v/>
      </c>
      <c r="V124" s="333" t="str">
        <f t="shared" si="23"/>
        <v/>
      </c>
      <c r="W124" s="284"/>
      <c r="X124" s="298">
        <f t="shared" si="19"/>
        <v>0</v>
      </c>
      <c r="Y124" s="298">
        <f t="shared" si="20"/>
        <v>0</v>
      </c>
      <c r="Z124" s="284"/>
    </row>
    <row r="125" spans="1:26" ht="15" customHeight="1" thickTop="1" x14ac:dyDescent="0.25">
      <c r="A125" s="508"/>
      <c r="B125" s="510" t="str">
        <f>CONCATENATE("Ramal 9 - Derivando no ponto ",C125)</f>
        <v xml:space="preserve">Ramal 9 - Derivando no ponto </v>
      </c>
      <c r="C125" s="36"/>
      <c r="D125" s="35"/>
      <c r="E125" s="47"/>
      <c r="F125" s="102" t="str">
        <f t="shared" si="16"/>
        <v/>
      </c>
      <c r="G125" s="47"/>
      <c r="H125" s="320" t="str">
        <f>IF(AND(E125="",G125=""),"",SUM(F125:G134))</f>
        <v/>
      </c>
      <c r="J125" s="35"/>
      <c r="K125" s="35"/>
      <c r="L125" s="321" t="str">
        <f>IF(OR(J125="",K125=""),"",IF(J125="3",VLOOKUP(M125,'K% (Rede Convencional)'!$B$18:$M$29,8),(IF(J125="2",VLOOKUP(N125,'K% (Rede Convencional)'!$B$18:$M$29,9),(IF(J125="1",VLOOKUP(N125,'K% (Rede Convencional)'!$B$18:$M$29,10),(IF(J125="13",VLOOKUP(N125,'K% (Rede Convencional)'!$B$18:$M$29,11),(IF(J125="12",VLOOKUP(N125,'K% (Rede Convencional)'!$B$18:$M$29,12),0))))))))))</f>
        <v/>
      </c>
      <c r="M125" s="294" t="str">
        <f t="shared" ref="M125:M134" si="24">IF(K125="4","a",IF(K125="2","b",IF(K125="1/0","d",IF(K125="4/0","f",IF(K125="336,4","i","")))))</f>
        <v/>
      </c>
      <c r="N125" s="294" t="str">
        <f>IF(K125="","",IF(K125="4 (4)","a",IF(OR(K125="2 (4)",K125="2 (2)"),VLOOKUP(K125,BT!$AE$21:$AF$22,2,FALSE),IF(OR(K125="1/0 (4)",K125="1/0 (2)"),VLOOKUP(K125,BT!$AE$24:$AF$25,2,FALSE),IF(OR(K125="4/0 (4)",K125="4/0 (2)",K125="4/0 (1/0)"),VLOOKUP(K125,BT!$AE$27:$AF$29,2,FALSE),IF(OR(K125="336,4 (4)",K125="336,4 (2)",K125="336,4 (1/0)",K125="336,4 (4/0)"),VLOOKUP(K125,BT!$AE$31:$AF$34,2,FALSE),0))))))</f>
        <v/>
      </c>
      <c r="O125" s="47"/>
      <c r="P125" s="322" t="str">
        <f t="shared" ref="P125:P134" si="25">IF(OR(H125="",L125="",O125=""),"",L125*H125*O125)</f>
        <v/>
      </c>
      <c r="Q125" s="322" t="str">
        <f>IF(P125="","",P125+VLOOKUP(C125,$D$21:$Q$43,13,FALSE))</f>
        <v/>
      </c>
      <c r="R125" s="322" t="str">
        <f t="shared" ref="R125:R134" si="26">IF(H125="","",IF(J125="3",H125*1000/($D$14*SQRT(3)),IF(J125="2",H125*1000*SQRT(3)/($D$14*2),IF(J125="1",H125*1000*SQRT(3)/$D$14,IF(J125="13",H125*1000/$D$16,IF(J125="12",H125*1000*2/$D$16,"erro"))))))</f>
        <v/>
      </c>
      <c r="S125" s="323" t="str">
        <f>IF(OR(M125="a",N125="a"),VLOOKUP("a",'Características dos Cabos'!$D$25:$L$29,9),IF(OR(M125="b",M125="c",N125="b",N125="c"),VLOOKUP("b",'Características dos Cabos'!$D$25:$L$29,9),IF(OR(M125="d",M125="e",N125="d",N125="e"),VLOOKUP("c",'Características dos Cabos'!$D$25:$L$29,9),IF(OR(M125="f",M125="g",M125="h",N125="f",N125="g",N125="h"),VLOOKUP("d",'Características dos Cabos'!$D$25:$L$29,9),IF(OR(M125="i",M125="j",M125="l",M125="m",N125="i",N125="j",N125="l",N125="m"),VLOOKUP("e",'Características dos Cabos'!$D$25:$L$29,9),"")))))</f>
        <v/>
      </c>
      <c r="T125" s="322" t="str">
        <f t="shared" ref="T125:T134" si="27">IF(S125="","",R125*100/S125)</f>
        <v/>
      </c>
      <c r="U125" s="323" t="str">
        <f>IF(OR(M125="a",N125="a"),VLOOKUP("a",'Características dos Cabos'!$D$25:$L$29,3),IF(OR(M125="b",M125="c",N125="b",N125="c"),VLOOKUP("b",'Características dos Cabos'!$D$25:$L$29,3),IF(OR(M125="d",M125="e",N125="d",N125="e"),VLOOKUP("c",'Características dos Cabos'!$D$25:$L$29,3),IF(OR(M125="f",M125="g",M125="h",N125="f",N125="g",N125="h"),VLOOKUP("d",'Características dos Cabos'!$D$25:$L$29,3),IF(OR(M125="i",M125="j",M125="l",M125="m",N125="i",N125="j",N125="l",N125="m"),VLOOKUP("e",'Características dos Cabos'!$D$25:$L$29,3),"")))))</f>
        <v/>
      </c>
      <c r="V125" s="324" t="str">
        <f t="shared" ref="V125:V134" si="28">IF(OR(O125="",$G$16="",H125="",N125=""),"",IF(J125="3",3*$L$12*U125*O125/1000*R125^2*8.76,IF(OR(J125="2",J125="13"),2*$L$12*U125*O125/1000*R125^2*8.76,IF(OR(J125="1",J125="12"),$L$12*U125*O125/1000*R125^2*8.76))))</f>
        <v/>
      </c>
      <c r="W125" s="343" t="e">
        <f>VLOOKUP(C125,$D$21:$Q$43,12,FALSE)</f>
        <v>#N/A</v>
      </c>
      <c r="X125" s="298">
        <f t="shared" ref="X125:X134" si="29">D125</f>
        <v>0</v>
      </c>
      <c r="Y125" s="298">
        <f t="shared" ref="Y125:Y134" si="30">K125</f>
        <v>0</v>
      </c>
      <c r="Z125" s="284"/>
    </row>
    <row r="126" spans="1:26" ht="15" customHeight="1" x14ac:dyDescent="0.25">
      <c r="A126" s="508"/>
      <c r="B126" s="511"/>
      <c r="C126" s="37"/>
      <c r="D126" s="33"/>
      <c r="E126" s="48"/>
      <c r="F126" s="102" t="str">
        <f t="shared" si="16"/>
        <v/>
      </c>
      <c r="G126" s="48"/>
      <c r="H126" s="306" t="str">
        <f>IF(AND(E126="",G126=""),"",SUM(F126:G134))</f>
        <v/>
      </c>
      <c r="J126" s="33"/>
      <c r="K126" s="33"/>
      <c r="L126" s="307" t="str">
        <f>IF(OR(J126="",K126=""),"",IF(J126="3",VLOOKUP(M126,'K% (Rede Convencional)'!$B$18:$M$29,8),(IF(J126="2",VLOOKUP(N126,'K% (Rede Convencional)'!$B$18:$M$29,9),(IF(J126="1",VLOOKUP(N126,'K% (Rede Convencional)'!$B$18:$M$29,10),(IF(J126="13",VLOOKUP(N126,'K% (Rede Convencional)'!$B$18:$M$29,11),(IF(J126="12",VLOOKUP(N126,'K% (Rede Convencional)'!$B$18:$M$29,12),0))))))))))</f>
        <v/>
      </c>
      <c r="M126" s="308" t="str">
        <f t="shared" si="24"/>
        <v/>
      </c>
      <c r="N126" s="308" t="str">
        <f>IF(K126="","",IF(K126="4 (4)","a",IF(OR(K126="2 (4)",K126="2 (2)"),VLOOKUP(K126,BT!$AE$21:$AF$22,2,FALSE),IF(OR(K126="1/0 (4)",K126="1/0 (2)"),VLOOKUP(K126,BT!$AE$24:$AF$25,2,FALSE),IF(OR(K126="4/0 (4)",K126="4/0 (2)",K126="4/0 (1/0)"),VLOOKUP(K126,BT!$AE$27:$AF$29,2,FALSE),IF(OR(K126="336,4 (4)",K126="336,4 (2)",K126="336,4 (1/0)",K126="336,4 (4/0)"),VLOOKUP(K126,BT!$AE$31:$AF$34,2,FALSE),0))))))</f>
        <v/>
      </c>
      <c r="O126" s="48"/>
      <c r="P126" s="309" t="str">
        <f t="shared" si="25"/>
        <v/>
      </c>
      <c r="Q126" s="309" t="str">
        <f>IF(P126="","",SUM($P$45:P126)+$W$115)</f>
        <v/>
      </c>
      <c r="R126" s="309" t="str">
        <f t="shared" si="26"/>
        <v/>
      </c>
      <c r="S126" s="310" t="str">
        <f>IF(OR(M126="a",N126="a"),VLOOKUP("a",'Características dos Cabos'!$D$25:$L$29,9),IF(OR(M126="b",M126="c",N126="b",N126="c"),VLOOKUP("b",'Características dos Cabos'!$D$25:$L$29,9),IF(OR(M126="d",M126="e",N126="d",N126="e"),VLOOKUP("c",'Características dos Cabos'!$D$25:$L$29,9),IF(OR(M126="f",M126="g",M126="h",N126="f",N126="g",N126="h"),VLOOKUP("d",'Características dos Cabos'!$D$25:$L$29,9),IF(OR(M126="i",M126="j",M126="l",M126="m",N126="i",N126="j",N126="l",N126="m"),VLOOKUP("e",'Características dos Cabos'!$D$25:$L$29,9),"")))))</f>
        <v/>
      </c>
      <c r="T126" s="309" t="str">
        <f t="shared" si="27"/>
        <v/>
      </c>
      <c r="U126" s="310" t="str">
        <f>IF(OR(M126="a",N126="a"),VLOOKUP("a",'Características dos Cabos'!$D$25:$L$29,3),IF(OR(M126="b",M126="c",N126="b",N126="c"),VLOOKUP("b",'Características dos Cabos'!$D$25:$L$29,3),IF(OR(M126="d",M126="e",N126="d",N126="e"),VLOOKUP("c",'Características dos Cabos'!$D$25:$L$29,3),IF(OR(M126="f",M126="g",M126="h",N126="f",N126="g",N126="h"),VLOOKUP("d",'Características dos Cabos'!$D$25:$L$29,3),IF(OR(M126="i",M126="j",M126="l",M126="m",N126="i",N126="j",N126="l",N126="m"),VLOOKUP("e",'Características dos Cabos'!$D$25:$L$29,3),"")))))</f>
        <v/>
      </c>
      <c r="V126" s="311" t="str">
        <f t="shared" si="28"/>
        <v/>
      </c>
      <c r="W126" s="284"/>
      <c r="X126" s="298">
        <f t="shared" si="29"/>
        <v>0</v>
      </c>
      <c r="Y126" s="298">
        <f t="shared" si="30"/>
        <v>0</v>
      </c>
      <c r="Z126" s="284"/>
    </row>
    <row r="127" spans="1:26" ht="15" customHeight="1" x14ac:dyDescent="0.25">
      <c r="A127" s="508"/>
      <c r="B127" s="511"/>
      <c r="C127" s="37"/>
      <c r="D127" s="33"/>
      <c r="E127" s="48"/>
      <c r="F127" s="102" t="str">
        <f t="shared" si="16"/>
        <v/>
      </c>
      <c r="G127" s="48"/>
      <c r="H127" s="306" t="str">
        <f>IF(AND(E127="",G127=""),"",SUM(F127:G134))</f>
        <v/>
      </c>
      <c r="J127" s="33"/>
      <c r="K127" s="33"/>
      <c r="L127" s="307" t="str">
        <f>IF(OR(J127="",K127=""),"",IF(J127="3",VLOOKUP(M127,'K% (Rede Convencional)'!$B$18:$M$29,8),(IF(J127="2",VLOOKUP(N127,'K% (Rede Convencional)'!$B$18:$M$29,9),(IF(J127="1",VLOOKUP(N127,'K% (Rede Convencional)'!$B$18:$M$29,10),(IF(J127="13",VLOOKUP(N127,'K% (Rede Convencional)'!$B$18:$M$29,11),(IF(J127="12",VLOOKUP(N127,'K% (Rede Convencional)'!$B$18:$M$29,12),0))))))))))</f>
        <v/>
      </c>
      <c r="M127" s="308" t="str">
        <f t="shared" si="24"/>
        <v/>
      </c>
      <c r="N127" s="308" t="str">
        <f>IF(K127="","",IF(K127="4 (4)","a",IF(OR(K127="2 (4)",K127="2 (2)"),VLOOKUP(K127,BT!$AE$21:$AF$22,2,FALSE),IF(OR(K127="1/0 (4)",K127="1/0 (2)"),VLOOKUP(K127,BT!$AE$24:$AF$25,2,FALSE),IF(OR(K127="4/0 (4)",K127="4/0 (2)",K127="4/0 (1/0)"),VLOOKUP(K127,BT!$AE$27:$AF$29,2,FALSE),IF(OR(K127="336,4 (4)",K127="336,4 (2)",K127="336,4 (1/0)",K127="336,4 (4/0)"),VLOOKUP(K127,BT!$AE$31:$AF$34,2,FALSE),0))))))</f>
        <v/>
      </c>
      <c r="O127" s="48"/>
      <c r="P127" s="309" t="str">
        <f t="shared" si="25"/>
        <v/>
      </c>
      <c r="Q127" s="309" t="str">
        <f>IF(P127="","",SUM($P$45:P127)+$W$115)</f>
        <v/>
      </c>
      <c r="R127" s="309" t="str">
        <f t="shared" si="26"/>
        <v/>
      </c>
      <c r="S127" s="310" t="str">
        <f>IF(OR(M127="a",N127="a"),VLOOKUP("a",'Características dos Cabos'!$D$25:$L$29,9),IF(OR(M127="b",M127="c",N127="b",N127="c"),VLOOKUP("b",'Características dos Cabos'!$D$25:$L$29,9),IF(OR(M127="d",M127="e",N127="d",N127="e"),VLOOKUP("c",'Características dos Cabos'!$D$25:$L$29,9),IF(OR(M127="f",M127="g",M127="h",N127="f",N127="g",N127="h"),VLOOKUP("d",'Características dos Cabos'!$D$25:$L$29,9),IF(OR(M127="i",M127="j",M127="l",M127="m",N127="i",N127="j",N127="l",N127="m"),VLOOKUP("e",'Características dos Cabos'!$D$25:$L$29,9),"")))))</f>
        <v/>
      </c>
      <c r="T127" s="309" t="str">
        <f t="shared" si="27"/>
        <v/>
      </c>
      <c r="U127" s="310" t="str">
        <f>IF(OR(M127="a",N127="a"),VLOOKUP("a",'Características dos Cabos'!$D$25:$L$29,3),IF(OR(M127="b",M127="c",N127="b",N127="c"),VLOOKUP("b",'Características dos Cabos'!$D$25:$L$29,3),IF(OR(M127="d",M127="e",N127="d",N127="e"),VLOOKUP("c",'Características dos Cabos'!$D$25:$L$29,3),IF(OR(M127="f",M127="g",M127="h",N127="f",N127="g",N127="h"),VLOOKUP("d",'Características dos Cabos'!$D$25:$L$29,3),IF(OR(M127="i",M127="j",M127="l",M127="m",N127="i",N127="j",N127="l",N127="m"),VLOOKUP("e",'Características dos Cabos'!$D$25:$L$29,3),"")))))</f>
        <v/>
      </c>
      <c r="V127" s="311" t="str">
        <f t="shared" si="28"/>
        <v/>
      </c>
      <c r="W127" s="284"/>
      <c r="X127" s="298">
        <f t="shared" si="29"/>
        <v>0</v>
      </c>
      <c r="Y127" s="298">
        <f t="shared" si="30"/>
        <v>0</v>
      </c>
      <c r="Z127" s="284"/>
    </row>
    <row r="128" spans="1:26" ht="15" customHeight="1" x14ac:dyDescent="0.25">
      <c r="A128" s="508"/>
      <c r="B128" s="511"/>
      <c r="C128" s="37"/>
      <c r="D128" s="33"/>
      <c r="E128" s="48"/>
      <c r="F128" s="102" t="str">
        <f t="shared" si="16"/>
        <v/>
      </c>
      <c r="G128" s="48"/>
      <c r="H128" s="306" t="str">
        <f>IF(AND(E128="",G128=""),"",SUM(F128:G134))</f>
        <v/>
      </c>
      <c r="J128" s="33"/>
      <c r="K128" s="33"/>
      <c r="L128" s="307" t="str">
        <f>IF(OR(J128="",K128=""),"",IF(J128="3",VLOOKUP(M128,'K% (Rede Convencional)'!$B$18:$M$29,8),(IF(J128="2",VLOOKUP(N128,'K% (Rede Convencional)'!$B$18:$M$29,9),(IF(J128="1",VLOOKUP(N128,'K% (Rede Convencional)'!$B$18:$M$29,10),(IF(J128="13",VLOOKUP(N128,'K% (Rede Convencional)'!$B$18:$M$29,11),(IF(J128="12",VLOOKUP(N128,'K% (Rede Convencional)'!$B$18:$M$29,12),0))))))))))</f>
        <v/>
      </c>
      <c r="M128" s="308" t="str">
        <f t="shared" si="24"/>
        <v/>
      </c>
      <c r="N128" s="308" t="str">
        <f>IF(K128="","",IF(K128="4 (4)","a",IF(OR(K128="2 (4)",K128="2 (2)"),VLOOKUP(K128,BT!$AE$21:$AF$22,2,FALSE),IF(OR(K128="1/0 (4)",K128="1/0 (2)"),VLOOKUP(K128,BT!$AE$24:$AF$25,2,FALSE),IF(OR(K128="4/0 (4)",K128="4/0 (2)",K128="4/0 (1/0)"),VLOOKUP(K128,BT!$AE$27:$AF$29,2,FALSE),IF(OR(K128="336,4 (4)",K128="336,4 (2)",K128="336,4 (1/0)",K128="336,4 (4/0)"),VLOOKUP(K128,BT!$AE$31:$AF$34,2,FALSE),0))))))</f>
        <v/>
      </c>
      <c r="O128" s="48"/>
      <c r="P128" s="309" t="str">
        <f t="shared" si="25"/>
        <v/>
      </c>
      <c r="Q128" s="309" t="str">
        <f>IF(P128="","",SUM($P$45:P128)+$W$115)</f>
        <v/>
      </c>
      <c r="R128" s="309" t="str">
        <f t="shared" si="26"/>
        <v/>
      </c>
      <c r="S128" s="310" t="str">
        <f>IF(OR(M128="a",N128="a"),VLOOKUP("a",'Características dos Cabos'!$D$25:$L$29,9),IF(OR(M128="b",M128="c",N128="b",N128="c"),VLOOKUP("b",'Características dos Cabos'!$D$25:$L$29,9),IF(OR(M128="d",M128="e",N128="d",N128="e"),VLOOKUP("c",'Características dos Cabos'!$D$25:$L$29,9),IF(OR(M128="f",M128="g",M128="h",N128="f",N128="g",N128="h"),VLOOKUP("d",'Características dos Cabos'!$D$25:$L$29,9),IF(OR(M128="i",M128="j",M128="l",M128="m",N128="i",N128="j",N128="l",N128="m"),VLOOKUP("e",'Características dos Cabos'!$D$25:$L$29,9),"")))))</f>
        <v/>
      </c>
      <c r="T128" s="309" t="str">
        <f t="shared" si="27"/>
        <v/>
      </c>
      <c r="U128" s="310" t="str">
        <f>IF(OR(M128="a",N128="a"),VLOOKUP("a",'Características dos Cabos'!$D$25:$L$29,3),IF(OR(M128="b",M128="c",N128="b",N128="c"),VLOOKUP("b",'Características dos Cabos'!$D$25:$L$29,3),IF(OR(M128="d",M128="e",N128="d",N128="e"),VLOOKUP("c",'Características dos Cabos'!$D$25:$L$29,3),IF(OR(M128="f",M128="g",M128="h",N128="f",N128="g",N128="h"),VLOOKUP("d",'Características dos Cabos'!$D$25:$L$29,3),IF(OR(M128="i",M128="j",M128="l",M128="m",N128="i",N128="j",N128="l",N128="m"),VLOOKUP("e",'Características dos Cabos'!$D$25:$L$29,3),"")))))</f>
        <v/>
      </c>
      <c r="V128" s="311" t="str">
        <f t="shared" si="28"/>
        <v/>
      </c>
      <c r="W128" s="284"/>
      <c r="X128" s="298">
        <f t="shared" si="29"/>
        <v>0</v>
      </c>
      <c r="Y128" s="298">
        <f t="shared" si="30"/>
        <v>0</v>
      </c>
      <c r="Z128" s="284"/>
    </row>
    <row r="129" spans="1:26" ht="15" customHeight="1" x14ac:dyDescent="0.25">
      <c r="A129" s="508"/>
      <c r="B129" s="511"/>
      <c r="C129" s="37"/>
      <c r="D129" s="33"/>
      <c r="E129" s="48"/>
      <c r="F129" s="102" t="str">
        <f t="shared" si="16"/>
        <v/>
      </c>
      <c r="G129" s="48"/>
      <c r="H129" s="306" t="str">
        <f>IF(AND(E129="",G129=""),"",SUM(F129:G134))</f>
        <v/>
      </c>
      <c r="J129" s="33"/>
      <c r="K129" s="33"/>
      <c r="L129" s="307" t="str">
        <f>IF(OR(J129="",K129=""),"",IF(J129="3",VLOOKUP(M129,'K% (Rede Convencional)'!$B$18:$M$29,8),(IF(J129="2",VLOOKUP(N129,'K% (Rede Convencional)'!$B$18:$M$29,9),(IF(J129="1",VLOOKUP(N129,'K% (Rede Convencional)'!$B$18:$M$29,10),(IF(J129="13",VLOOKUP(N129,'K% (Rede Convencional)'!$B$18:$M$29,11),(IF(J129="12",VLOOKUP(N129,'K% (Rede Convencional)'!$B$18:$M$29,12),0))))))))))</f>
        <v/>
      </c>
      <c r="M129" s="308" t="str">
        <f t="shared" si="24"/>
        <v/>
      </c>
      <c r="N129" s="308" t="str">
        <f>IF(K129="","",IF(K129="4 (4)","a",IF(OR(K129="2 (4)",K129="2 (2)"),VLOOKUP(K129,BT!$AE$21:$AF$22,2,FALSE),IF(OR(K129="1/0 (4)",K129="1/0 (2)"),VLOOKUP(K129,BT!$AE$24:$AF$25,2,FALSE),IF(OR(K129="4/0 (4)",K129="4/0 (2)",K129="4/0 (1/0)"),VLOOKUP(K129,BT!$AE$27:$AF$29,2,FALSE),IF(OR(K129="336,4 (4)",K129="336,4 (2)",K129="336,4 (1/0)",K129="336,4 (4/0)"),VLOOKUP(K129,BT!$AE$31:$AF$34,2,FALSE),0))))))</f>
        <v/>
      </c>
      <c r="O129" s="48"/>
      <c r="P129" s="309" t="str">
        <f t="shared" si="25"/>
        <v/>
      </c>
      <c r="Q129" s="309" t="str">
        <f>IF(P129="","",SUM($P$45:P129)+$W$115)</f>
        <v/>
      </c>
      <c r="R129" s="309" t="str">
        <f t="shared" si="26"/>
        <v/>
      </c>
      <c r="S129" s="310" t="str">
        <f>IF(OR(M129="a",N129="a"),VLOOKUP("a",'Características dos Cabos'!$D$25:$L$29,9),IF(OR(M129="b",M129="c",N129="b",N129="c"),VLOOKUP("b",'Características dos Cabos'!$D$25:$L$29,9),IF(OR(M129="d",M129="e",N129="d",N129="e"),VLOOKUP("c",'Características dos Cabos'!$D$25:$L$29,9),IF(OR(M129="f",M129="g",M129="h",N129="f",N129="g",N129="h"),VLOOKUP("d",'Características dos Cabos'!$D$25:$L$29,9),IF(OR(M129="i",M129="j",M129="l",M129="m",N129="i",N129="j",N129="l",N129="m"),VLOOKUP("e",'Características dos Cabos'!$D$25:$L$29,9),"")))))</f>
        <v/>
      </c>
      <c r="T129" s="309" t="str">
        <f t="shared" si="27"/>
        <v/>
      </c>
      <c r="U129" s="310" t="str">
        <f>IF(OR(M129="a",N129="a"),VLOOKUP("a",'Características dos Cabos'!$D$25:$L$29,3),IF(OR(M129="b",M129="c",N129="b",N129="c"),VLOOKUP("b",'Características dos Cabos'!$D$25:$L$29,3),IF(OR(M129="d",M129="e",N129="d",N129="e"),VLOOKUP("c",'Características dos Cabos'!$D$25:$L$29,3),IF(OR(M129="f",M129="g",M129="h",N129="f",N129="g",N129="h"),VLOOKUP("d",'Características dos Cabos'!$D$25:$L$29,3),IF(OR(M129="i",M129="j",M129="l",M129="m",N129="i",N129="j",N129="l",N129="m"),VLOOKUP("e",'Características dos Cabos'!$D$25:$L$29,3),"")))))</f>
        <v/>
      </c>
      <c r="V129" s="311" t="str">
        <f t="shared" si="28"/>
        <v/>
      </c>
      <c r="W129" s="284"/>
      <c r="X129" s="298">
        <f t="shared" si="29"/>
        <v>0</v>
      </c>
      <c r="Y129" s="298">
        <f t="shared" si="30"/>
        <v>0</v>
      </c>
      <c r="Z129" s="284"/>
    </row>
    <row r="130" spans="1:26" ht="15" customHeight="1" x14ac:dyDescent="0.25">
      <c r="A130" s="508"/>
      <c r="B130" s="511"/>
      <c r="C130" s="37"/>
      <c r="D130" s="33"/>
      <c r="E130" s="48"/>
      <c r="F130" s="102" t="str">
        <f t="shared" si="16"/>
        <v/>
      </c>
      <c r="G130" s="48"/>
      <c r="H130" s="306" t="str">
        <f>IF(AND(E130="",G130=""),"",SUM(F130:G134))</f>
        <v/>
      </c>
      <c r="J130" s="33"/>
      <c r="K130" s="33"/>
      <c r="L130" s="307" t="str">
        <f>IF(OR(J130="",K130=""),"",IF(J130="3",VLOOKUP(M130,'K% (Rede Convencional)'!$B$18:$M$29,8),(IF(J130="2",VLOOKUP(N130,'K% (Rede Convencional)'!$B$18:$M$29,9),(IF(J130="1",VLOOKUP(N130,'K% (Rede Convencional)'!$B$18:$M$29,10),(IF(J130="13",VLOOKUP(N130,'K% (Rede Convencional)'!$B$18:$M$29,11),(IF(J130="12",VLOOKUP(N130,'K% (Rede Convencional)'!$B$18:$M$29,12),0))))))))))</f>
        <v/>
      </c>
      <c r="M130" s="308" t="str">
        <f t="shared" si="24"/>
        <v/>
      </c>
      <c r="N130" s="308" t="str">
        <f>IF(K130="","",IF(K130="4 (4)","a",IF(OR(K130="2 (4)",K130="2 (2)"),VLOOKUP(K130,BT!$AE$21:$AF$22,2,FALSE),IF(OR(K130="1/0 (4)",K130="1/0 (2)"),VLOOKUP(K130,BT!$AE$24:$AF$25,2,FALSE),IF(OR(K130="4/0 (4)",K130="4/0 (2)",K130="4/0 (1/0)"),VLOOKUP(K130,BT!$AE$27:$AF$29,2,FALSE),IF(OR(K130="336,4 (4)",K130="336,4 (2)",K130="336,4 (1/0)",K130="336,4 (4/0)"),VLOOKUP(K130,BT!$AE$31:$AF$34,2,FALSE),0))))))</f>
        <v/>
      </c>
      <c r="O130" s="48"/>
      <c r="P130" s="309" t="str">
        <f t="shared" si="25"/>
        <v/>
      </c>
      <c r="Q130" s="309" t="str">
        <f>IF(P130="","",SUM($P$45:P130)+$W$115)</f>
        <v/>
      </c>
      <c r="R130" s="309" t="str">
        <f t="shared" si="26"/>
        <v/>
      </c>
      <c r="S130" s="310" t="str">
        <f>IF(OR(M130="a",N130="a"),VLOOKUP("a",'Características dos Cabos'!$D$25:$L$29,9),IF(OR(M130="b",M130="c",N130="b",N130="c"),VLOOKUP("b",'Características dos Cabos'!$D$25:$L$29,9),IF(OR(M130="d",M130="e",N130="d",N130="e"),VLOOKUP("c",'Características dos Cabos'!$D$25:$L$29,9),IF(OR(M130="f",M130="g",M130="h",N130="f",N130="g",N130="h"),VLOOKUP("d",'Características dos Cabos'!$D$25:$L$29,9),IF(OR(M130="i",M130="j",M130="l",M130="m",N130="i",N130="j",N130="l",N130="m"),VLOOKUP("e",'Características dos Cabos'!$D$25:$L$29,9),"")))))</f>
        <v/>
      </c>
      <c r="T130" s="309" t="str">
        <f t="shared" si="27"/>
        <v/>
      </c>
      <c r="U130" s="310" t="str">
        <f>IF(OR(M130="a",N130="a"),VLOOKUP("a",'Características dos Cabos'!$D$25:$L$29,3),IF(OR(M130="b",M130="c",N130="b",N130="c"),VLOOKUP("b",'Características dos Cabos'!$D$25:$L$29,3),IF(OR(M130="d",M130="e",N130="d",N130="e"),VLOOKUP("c",'Características dos Cabos'!$D$25:$L$29,3),IF(OR(M130="f",M130="g",M130="h",N130="f",N130="g",N130="h"),VLOOKUP("d",'Características dos Cabos'!$D$25:$L$29,3),IF(OR(M130="i",M130="j",M130="l",M130="m",N130="i",N130="j",N130="l",N130="m"),VLOOKUP("e",'Características dos Cabos'!$D$25:$L$29,3),"")))))</f>
        <v/>
      </c>
      <c r="V130" s="311" t="str">
        <f t="shared" si="28"/>
        <v/>
      </c>
      <c r="W130" s="284"/>
      <c r="X130" s="298">
        <f t="shared" si="29"/>
        <v>0</v>
      </c>
      <c r="Y130" s="298">
        <f t="shared" si="30"/>
        <v>0</v>
      </c>
      <c r="Z130" s="284"/>
    </row>
    <row r="131" spans="1:26" ht="15" customHeight="1" x14ac:dyDescent="0.25">
      <c r="A131" s="508"/>
      <c r="B131" s="511"/>
      <c r="C131" s="37"/>
      <c r="D131" s="33"/>
      <c r="E131" s="48"/>
      <c r="F131" s="102" t="str">
        <f t="shared" si="16"/>
        <v/>
      </c>
      <c r="G131" s="48"/>
      <c r="H131" s="306" t="str">
        <f>IF(AND(E131="",G131=""),"",SUM(F131:G134))</f>
        <v/>
      </c>
      <c r="J131" s="33"/>
      <c r="K131" s="33"/>
      <c r="L131" s="307" t="str">
        <f>IF(OR(J131="",K131=""),"",IF(J131="3",VLOOKUP(M131,'K% (Rede Convencional)'!$B$18:$M$29,8),(IF(J131="2",VLOOKUP(N131,'K% (Rede Convencional)'!$B$18:$M$29,9),(IF(J131="1",VLOOKUP(N131,'K% (Rede Convencional)'!$B$18:$M$29,10),(IF(J131="13",VLOOKUP(N131,'K% (Rede Convencional)'!$B$18:$M$29,11),(IF(J131="12",VLOOKUP(N131,'K% (Rede Convencional)'!$B$18:$M$29,12),0))))))))))</f>
        <v/>
      </c>
      <c r="M131" s="308" t="str">
        <f t="shared" si="24"/>
        <v/>
      </c>
      <c r="N131" s="308" t="str">
        <f>IF(K131="","",IF(K131="4 (4)","a",IF(OR(K131="2 (4)",K131="2 (2)"),VLOOKUP(K131,BT!$AE$21:$AF$22,2,FALSE),IF(OR(K131="1/0 (4)",K131="1/0 (2)"),VLOOKUP(K131,BT!$AE$24:$AF$25,2,FALSE),IF(OR(K131="4/0 (4)",K131="4/0 (2)",K131="4/0 (1/0)"),VLOOKUP(K131,BT!$AE$27:$AF$29,2,FALSE),IF(OR(K131="336,4 (4)",K131="336,4 (2)",K131="336,4 (1/0)",K131="336,4 (4/0)"),VLOOKUP(K131,BT!$AE$31:$AF$34,2,FALSE),0))))))</f>
        <v/>
      </c>
      <c r="O131" s="48"/>
      <c r="P131" s="309" t="str">
        <f t="shared" si="25"/>
        <v/>
      </c>
      <c r="Q131" s="309" t="str">
        <f>IF(P131="","",SUM($P$45:P131)+$W$115)</f>
        <v/>
      </c>
      <c r="R131" s="309" t="str">
        <f t="shared" si="26"/>
        <v/>
      </c>
      <c r="S131" s="310" t="str">
        <f>IF(OR(M131="a",N131="a"),VLOOKUP("a",'Características dos Cabos'!$D$25:$L$29,9),IF(OR(M131="b",M131="c",N131="b",N131="c"),VLOOKUP("b",'Características dos Cabos'!$D$25:$L$29,9),IF(OR(M131="d",M131="e",N131="d",N131="e"),VLOOKUP("c",'Características dos Cabos'!$D$25:$L$29,9),IF(OR(M131="f",M131="g",M131="h",N131="f",N131="g",N131="h"),VLOOKUP("d",'Características dos Cabos'!$D$25:$L$29,9),IF(OR(M131="i",M131="j",M131="l",M131="m",N131="i",N131="j",N131="l",N131="m"),VLOOKUP("e",'Características dos Cabos'!$D$25:$L$29,9),"")))))</f>
        <v/>
      </c>
      <c r="T131" s="309" t="str">
        <f t="shared" si="27"/>
        <v/>
      </c>
      <c r="U131" s="310" t="str">
        <f>IF(OR(M131="a",N131="a"),VLOOKUP("a",'Características dos Cabos'!$D$25:$L$29,3),IF(OR(M131="b",M131="c",N131="b",N131="c"),VLOOKUP("b",'Características dos Cabos'!$D$25:$L$29,3),IF(OR(M131="d",M131="e",N131="d",N131="e"),VLOOKUP("c",'Características dos Cabos'!$D$25:$L$29,3),IF(OR(M131="f",M131="g",M131="h",N131="f",N131="g",N131="h"),VLOOKUP("d",'Características dos Cabos'!$D$25:$L$29,3),IF(OR(M131="i",M131="j",M131="l",M131="m",N131="i",N131="j",N131="l",N131="m"),VLOOKUP("e",'Características dos Cabos'!$D$25:$L$29,3),"")))))</f>
        <v/>
      </c>
      <c r="V131" s="311" t="str">
        <f t="shared" si="28"/>
        <v/>
      </c>
      <c r="W131" s="284"/>
      <c r="X131" s="298">
        <f t="shared" si="29"/>
        <v>0</v>
      </c>
      <c r="Y131" s="298">
        <f t="shared" si="30"/>
        <v>0</v>
      </c>
      <c r="Z131" s="284"/>
    </row>
    <row r="132" spans="1:26" ht="15" customHeight="1" x14ac:dyDescent="0.25">
      <c r="A132" s="508"/>
      <c r="B132" s="511"/>
      <c r="C132" s="37"/>
      <c r="D132" s="33"/>
      <c r="E132" s="48"/>
      <c r="F132" s="102" t="str">
        <f t="shared" si="16"/>
        <v/>
      </c>
      <c r="G132" s="48"/>
      <c r="H132" s="306" t="str">
        <f>IF(AND(E132="",G132=""),"",SUM(F132:G134))</f>
        <v/>
      </c>
      <c r="J132" s="33"/>
      <c r="K132" s="33"/>
      <c r="L132" s="307" t="str">
        <f>IF(OR(J132="",K132=""),"",IF(J132="3",VLOOKUP(M132,'K% (Rede Convencional)'!$B$18:$M$29,8),(IF(J132="2",VLOOKUP(N132,'K% (Rede Convencional)'!$B$18:$M$29,9),(IF(J132="1",VLOOKUP(N132,'K% (Rede Convencional)'!$B$18:$M$29,10),(IF(J132="13",VLOOKUP(N132,'K% (Rede Convencional)'!$B$18:$M$29,11),(IF(J132="12",VLOOKUP(N132,'K% (Rede Convencional)'!$B$18:$M$29,12),0))))))))))</f>
        <v/>
      </c>
      <c r="M132" s="308" t="str">
        <f t="shared" si="24"/>
        <v/>
      </c>
      <c r="N132" s="308" t="str">
        <f>IF(K132="","",IF(K132="4 (4)","a",IF(OR(K132="2 (4)",K132="2 (2)"),VLOOKUP(K132,BT!$AE$21:$AF$22,2,FALSE),IF(OR(K132="1/0 (4)",K132="1/0 (2)"),VLOOKUP(K132,BT!$AE$24:$AF$25,2,FALSE),IF(OR(K132="4/0 (4)",K132="4/0 (2)",K132="4/0 (1/0)"),VLOOKUP(K132,BT!$AE$27:$AF$29,2,FALSE),IF(OR(K132="336,4 (4)",K132="336,4 (2)",K132="336,4 (1/0)",K132="336,4 (4/0)"),VLOOKUP(K132,BT!$AE$31:$AF$34,2,FALSE),0))))))</f>
        <v/>
      </c>
      <c r="O132" s="48"/>
      <c r="P132" s="309" t="str">
        <f t="shared" si="25"/>
        <v/>
      </c>
      <c r="Q132" s="309" t="str">
        <f>IF(P132="","",SUM($P$45:P132)+$W$115)</f>
        <v/>
      </c>
      <c r="R132" s="309" t="str">
        <f t="shared" si="26"/>
        <v/>
      </c>
      <c r="S132" s="310" t="str">
        <f>IF(OR(M132="a",N132="a"),VLOOKUP("a",'Características dos Cabos'!$D$25:$L$29,9),IF(OR(M132="b",M132="c",N132="b",N132="c"),VLOOKUP("b",'Características dos Cabos'!$D$25:$L$29,9),IF(OR(M132="d",M132="e",N132="d",N132="e"),VLOOKUP("c",'Características dos Cabos'!$D$25:$L$29,9),IF(OR(M132="f",M132="g",M132="h",N132="f",N132="g",N132="h"),VLOOKUP("d",'Características dos Cabos'!$D$25:$L$29,9),IF(OR(M132="i",M132="j",M132="l",M132="m",N132="i",N132="j",N132="l",N132="m"),VLOOKUP("e",'Características dos Cabos'!$D$25:$L$29,9),"")))))</f>
        <v/>
      </c>
      <c r="T132" s="309" t="str">
        <f t="shared" si="27"/>
        <v/>
      </c>
      <c r="U132" s="310" t="str">
        <f>IF(OR(M132="a",N132="a"),VLOOKUP("a",'Características dos Cabos'!$D$25:$L$29,3),IF(OR(M132="b",M132="c",N132="b",N132="c"),VLOOKUP("b",'Características dos Cabos'!$D$25:$L$29,3),IF(OR(M132="d",M132="e",N132="d",N132="e"),VLOOKUP("c",'Características dos Cabos'!$D$25:$L$29,3),IF(OR(M132="f",M132="g",M132="h",N132="f",N132="g",N132="h"),VLOOKUP("d",'Características dos Cabos'!$D$25:$L$29,3),IF(OR(M132="i",M132="j",M132="l",M132="m",N132="i",N132="j",N132="l",N132="m"),VLOOKUP("e",'Características dos Cabos'!$D$25:$L$29,3),"")))))</f>
        <v/>
      </c>
      <c r="V132" s="311" t="str">
        <f t="shared" si="28"/>
        <v/>
      </c>
      <c r="W132" s="284"/>
      <c r="X132" s="298">
        <f t="shared" si="29"/>
        <v>0</v>
      </c>
      <c r="Y132" s="298">
        <f t="shared" si="30"/>
        <v>0</v>
      </c>
      <c r="Z132" s="284"/>
    </row>
    <row r="133" spans="1:26" ht="15" customHeight="1" x14ac:dyDescent="0.25">
      <c r="A133" s="508"/>
      <c r="B133" s="511"/>
      <c r="C133" s="37"/>
      <c r="D133" s="33"/>
      <c r="E133" s="48"/>
      <c r="F133" s="102" t="str">
        <f t="shared" si="16"/>
        <v/>
      </c>
      <c r="G133" s="48"/>
      <c r="H133" s="306" t="str">
        <f>IF(AND(E133="",G133=""),"",SUM(F133:G134))</f>
        <v/>
      </c>
      <c r="J133" s="33"/>
      <c r="K133" s="33"/>
      <c r="L133" s="307" t="str">
        <f>IF(OR(J133="",K133=""),"",IF(J133="3",VLOOKUP(M133,'K% (Rede Convencional)'!$B$18:$M$29,8),(IF(J133="2",VLOOKUP(N133,'K% (Rede Convencional)'!$B$18:$M$29,9),(IF(J133="1",VLOOKUP(N133,'K% (Rede Convencional)'!$B$18:$M$29,10),(IF(J133="13",VLOOKUP(N133,'K% (Rede Convencional)'!$B$18:$M$29,11),(IF(J133="12",VLOOKUP(N133,'K% (Rede Convencional)'!$B$18:$M$29,12),0))))))))))</f>
        <v/>
      </c>
      <c r="M133" s="308" t="str">
        <f t="shared" si="24"/>
        <v/>
      </c>
      <c r="N133" s="308" t="str">
        <f>IF(K133="","",IF(K133="4 (4)","a",IF(OR(K133="2 (4)",K133="2 (2)"),VLOOKUP(K133,BT!$AE$21:$AF$22,2,FALSE),IF(OR(K133="1/0 (4)",K133="1/0 (2)"),VLOOKUP(K133,BT!$AE$24:$AF$25,2,FALSE),IF(OR(K133="4/0 (4)",K133="4/0 (2)",K133="4/0 (1/0)"),VLOOKUP(K133,BT!$AE$27:$AF$29,2,FALSE),IF(OR(K133="336,4 (4)",K133="336,4 (2)",K133="336,4 (1/0)",K133="336,4 (4/0)"),VLOOKUP(K133,BT!$AE$31:$AF$34,2,FALSE),0))))))</f>
        <v/>
      </c>
      <c r="O133" s="48"/>
      <c r="P133" s="309" t="str">
        <f t="shared" si="25"/>
        <v/>
      </c>
      <c r="Q133" s="309" t="str">
        <f>IF(P133="","",SUM($P$45:P133)+$W$115)</f>
        <v/>
      </c>
      <c r="R133" s="309" t="str">
        <f t="shared" si="26"/>
        <v/>
      </c>
      <c r="S133" s="310" t="str">
        <f>IF(OR(M133="a",N133="a"),VLOOKUP("a",'Características dos Cabos'!$D$25:$L$29,9),IF(OR(M133="b",M133="c",N133="b",N133="c"),VLOOKUP("b",'Características dos Cabos'!$D$25:$L$29,9),IF(OR(M133="d",M133="e",N133="d",N133="e"),VLOOKUP("c",'Características dos Cabos'!$D$25:$L$29,9),IF(OR(M133="f",M133="g",M133="h",N133="f",N133="g",N133="h"),VLOOKUP("d",'Características dos Cabos'!$D$25:$L$29,9),IF(OR(M133="i",M133="j",M133="l",M133="m",N133="i",N133="j",N133="l",N133="m"),VLOOKUP("e",'Características dos Cabos'!$D$25:$L$29,9),"")))))</f>
        <v/>
      </c>
      <c r="T133" s="309" t="str">
        <f t="shared" si="27"/>
        <v/>
      </c>
      <c r="U133" s="310" t="str">
        <f>IF(OR(M133="a",N133="a"),VLOOKUP("a",'Características dos Cabos'!$D$25:$L$29,3),IF(OR(M133="b",M133="c",N133="b",N133="c"),VLOOKUP("b",'Características dos Cabos'!$D$25:$L$29,3),IF(OR(M133="d",M133="e",N133="d",N133="e"),VLOOKUP("c",'Características dos Cabos'!$D$25:$L$29,3),IF(OR(M133="f",M133="g",M133="h",N133="f",N133="g",N133="h"),VLOOKUP("d",'Características dos Cabos'!$D$25:$L$29,3),IF(OR(M133="i",M133="j",M133="l",M133="m",N133="i",N133="j",N133="l",N133="m"),VLOOKUP("e",'Características dos Cabos'!$D$25:$L$29,3),"")))))</f>
        <v/>
      </c>
      <c r="V133" s="311" t="str">
        <f t="shared" si="28"/>
        <v/>
      </c>
      <c r="W133" s="284"/>
      <c r="X133" s="298">
        <f t="shared" si="29"/>
        <v>0</v>
      </c>
      <c r="Y133" s="298">
        <f t="shared" si="30"/>
        <v>0</v>
      </c>
      <c r="Z133" s="284"/>
    </row>
    <row r="134" spans="1:26" ht="15" customHeight="1" thickBot="1" x14ac:dyDescent="0.3">
      <c r="A134" s="508"/>
      <c r="B134" s="512"/>
      <c r="C134" s="38"/>
      <c r="D134" s="34"/>
      <c r="E134" s="49"/>
      <c r="F134" s="64" t="str">
        <f t="shared" si="16"/>
        <v/>
      </c>
      <c r="G134" s="49"/>
      <c r="H134" s="328" t="str">
        <f>IF(AND(E134="",G134=""),"",SUM(F134:G134))</f>
        <v/>
      </c>
      <c r="J134" s="34"/>
      <c r="K134" s="34"/>
      <c r="L134" s="329" t="str">
        <f>IF(OR(J134="",K134=""),"",IF(J134="3",VLOOKUP(M134,'K% (Rede Convencional)'!$B$18:$M$29,8),(IF(J134="2",VLOOKUP(N134,'K% (Rede Convencional)'!$B$18:$M$29,9),(IF(J134="1",VLOOKUP(N134,'K% (Rede Convencional)'!$B$18:$M$29,10),(IF(J134="13",VLOOKUP(N134,'K% (Rede Convencional)'!$B$18:$M$29,11),(IF(J134="12",VLOOKUP(N134,'K% (Rede Convencional)'!$B$18:$M$29,12),0))))))))))</f>
        <v/>
      </c>
      <c r="M134" s="330" t="str">
        <f t="shared" si="24"/>
        <v/>
      </c>
      <c r="N134" s="330" t="str">
        <f>IF(K134="","",IF(K134="4 (4)","a",IF(OR(K134="2 (4)",K134="2 (2)"),VLOOKUP(K134,BT!$AE$21:$AF$22,2,FALSE),IF(OR(K134="1/0 (4)",K134="1/0 (2)"),VLOOKUP(K134,BT!$AE$24:$AF$25,2,FALSE),IF(OR(K134="4/0 (4)",K134="4/0 (2)",K134="4/0 (1/0)"),VLOOKUP(K134,BT!$AE$27:$AF$29,2,FALSE),IF(OR(K134="336,4 (4)",K134="336,4 (2)",K134="336,4 (1/0)",K134="336,4 (4/0)"),VLOOKUP(K134,BT!$AE$31:$AF$34,2,FALSE),0))))))</f>
        <v/>
      </c>
      <c r="O134" s="49"/>
      <c r="P134" s="331" t="str">
        <f t="shared" si="25"/>
        <v/>
      </c>
      <c r="Q134" s="331" t="str">
        <f>IF(P134="","",SUM($P$45:P134)+$W$115)</f>
        <v/>
      </c>
      <c r="R134" s="331" t="str">
        <f t="shared" si="26"/>
        <v/>
      </c>
      <c r="S134" s="332" t="str">
        <f>IF(N134="a",VLOOKUP("a",#REF!,9),IF(OR(N134="b",N134="c"),VLOOKUP("b",#REF!,9),IF(OR(N134="d",N134="e"),VLOOKUP("c",#REF!,9),IF(OR(N134="f",N134="g",N134="h"),VLOOKUP("d",#REF!,9),IF(OR(N134="i",N134="j",N134="l",N134="m"),VLOOKUP("e",#REF!,9),"")))))</f>
        <v/>
      </c>
      <c r="T134" s="331" t="str">
        <f t="shared" si="27"/>
        <v/>
      </c>
      <c r="U134" s="332" t="str">
        <f>IF(OR(M134="a",N134="a"),VLOOKUP("a",'Características dos Cabos'!$D$25:$L$29,3),IF(OR(M134="b",M134="c",N134="b",N134="c"),VLOOKUP("b",'Características dos Cabos'!$D$25:$L$29,3),IF(OR(M134="d",M134="e",N134="d",N134="e"),VLOOKUP("c",'Características dos Cabos'!$D$25:$L$29,3),IF(OR(M134="f",M134="g",M134="h",N134="f",N134="g",N134="h"),VLOOKUP("d",'Características dos Cabos'!$D$25:$L$29,3),IF(OR(M134="i",M134="j",M134="l",M134="m",N134="i",N134="j",N134="l",N134="m"),VLOOKUP("e",'Características dos Cabos'!$D$25:$L$29,3),"")))))</f>
        <v/>
      </c>
      <c r="V134" s="333" t="str">
        <f t="shared" si="28"/>
        <v/>
      </c>
      <c r="W134" s="284"/>
      <c r="X134" s="298">
        <f t="shared" si="29"/>
        <v>0</v>
      </c>
      <c r="Y134" s="298">
        <f t="shared" si="30"/>
        <v>0</v>
      </c>
      <c r="Z134" s="284"/>
    </row>
    <row r="135" spans="1:26" ht="15" customHeight="1" thickTop="1" x14ac:dyDescent="0.25">
      <c r="A135" s="508"/>
      <c r="B135" s="510" t="str">
        <f>CONCATENATE("Ramal 10 - Derivando no ponto ",C135)</f>
        <v xml:space="preserve">Ramal 10 - Derivando no ponto </v>
      </c>
      <c r="C135" s="36"/>
      <c r="D135" s="35"/>
      <c r="E135" s="47"/>
      <c r="F135" s="102" t="str">
        <f t="shared" si="16"/>
        <v/>
      </c>
      <c r="G135" s="47"/>
      <c r="H135" s="320" t="str">
        <f>IF(AND(E135="",G135=""),"",SUM(F135:G144))</f>
        <v/>
      </c>
      <c r="J135" s="35"/>
      <c r="K135" s="35"/>
      <c r="L135" s="321" t="str">
        <f>IF(OR(J135="",K135=""),"",IF(J135="3",VLOOKUP(M135,'K% (Rede Convencional)'!$B$18:$M$29,8),(IF(J135="2",VLOOKUP(N135,'K% (Rede Convencional)'!$B$18:$M$29,9),(IF(J135="1",VLOOKUP(N135,'K% (Rede Convencional)'!$B$18:$M$29,10),(IF(J135="13",VLOOKUP(N135,'K% (Rede Convencional)'!$B$18:$M$29,11),(IF(J135="12",VLOOKUP(N135,'K% (Rede Convencional)'!$B$18:$M$29,12),0))))))))))</f>
        <v/>
      </c>
      <c r="M135" s="294" t="str">
        <f t="shared" ref="M135:M144" si="31">IF(K135="4","a",IF(K135="2","b",IF(K135="1/0","d",IF(K135="4/0","f",IF(K135="336,4","i","")))))</f>
        <v/>
      </c>
      <c r="N135" s="294" t="str">
        <f>IF(K135="","",IF(K135="4 (4)","a",IF(OR(K135="2 (4)",K135="2 (2)"),VLOOKUP(K135,BT!$AE$21:$AF$22,2,FALSE),IF(OR(K135="1/0 (4)",K135="1/0 (2)"),VLOOKUP(K135,BT!$AE$24:$AF$25,2,FALSE),IF(OR(K135="4/0 (4)",K135="4/0 (2)",K135="4/0 (1/0)"),VLOOKUP(K135,BT!$AE$27:$AF$29,2,FALSE),IF(OR(K135="336,4 (4)",K135="336,4 (2)",K135="336,4 (1/0)",K135="336,4 (4/0)"),VLOOKUP(K135,BT!$AE$31:$AF$34,2,FALSE),0))))))</f>
        <v/>
      </c>
      <c r="O135" s="47"/>
      <c r="P135" s="322" t="str">
        <f t="shared" ref="P135:P144" si="32">IF(OR(H135="",L135="",O135=""),"",L135*H135*O135)</f>
        <v/>
      </c>
      <c r="Q135" s="322" t="str">
        <f>IF(P135="","",P135+VLOOKUP(C135,$D$21:$Q$43,13,FALSE))</f>
        <v/>
      </c>
      <c r="R135" s="322" t="str">
        <f t="shared" ref="R135:R144" si="33">IF(H135="","",IF(J135="3",H135*1000/($D$14*SQRT(3)),IF(J135="2",H135*1000*SQRT(3)/($D$14*2),IF(J135="1",H135*1000*SQRT(3)/$D$14,IF(J135="13",H135*1000/$D$16,IF(J135="12",H135*1000*2/$D$16,"erro"))))))</f>
        <v/>
      </c>
      <c r="S135" s="323" t="str">
        <f>IF(OR(M135="a",N135="a"),VLOOKUP("a",'Características dos Cabos'!$D$25:$L$29,9),IF(OR(M135="b",M135="c",N135="b",N135="c"),VLOOKUP("b",'Características dos Cabos'!$D$25:$L$29,9),IF(OR(M135="d",M135="e",N135="d",N135="e"),VLOOKUP("c",'Características dos Cabos'!$D$25:$L$29,9),IF(OR(M135="f",M135="g",M135="h",N135="f",N135="g",N135="h"),VLOOKUP("d",'Características dos Cabos'!$D$25:$L$29,9),IF(OR(M135="i",M135="j",M135="l",M135="m",N135="i",N135="j",N135="l",N135="m"),VLOOKUP("e",'Características dos Cabos'!$D$25:$L$29,9),"")))))</f>
        <v/>
      </c>
      <c r="T135" s="322" t="str">
        <f t="shared" ref="T135:T144" si="34">IF(S135="","",R135*100/S135)</f>
        <v/>
      </c>
      <c r="U135" s="323" t="str">
        <f>IF(OR(M135="a",N135="a"),VLOOKUP("a",'Características dos Cabos'!$D$25:$L$29,3),IF(OR(M135="b",M135="c",N135="b",N135="c"),VLOOKUP("b",'Características dos Cabos'!$D$25:$L$29,3),IF(OR(M135="d",M135="e",N135="d",N135="e"),VLOOKUP("c",'Características dos Cabos'!$D$25:$L$29,3),IF(OR(M135="f",M135="g",M135="h",N135="f",N135="g",N135="h"),VLOOKUP("d",'Características dos Cabos'!$D$25:$L$29,3),IF(OR(M135="i",M135="j",M135="l",M135="m",N135="i",N135="j",N135="l",N135="m"),VLOOKUP("e",'Características dos Cabos'!$D$25:$L$29,3),"")))))</f>
        <v/>
      </c>
      <c r="V135" s="324" t="str">
        <f t="shared" ref="V135:V144" si="35">IF(OR(O135="",$G$16="",H135="",N135=""),"",IF(J135="3",3*$L$12*U135*O135/1000*R135^2*8.76,IF(OR(J135="2",J135="13"),2*$L$12*U135*O135/1000*R135^2*8.76,IF(OR(J135="1",J135="12"),$L$12*U135*O135/1000*R135^2*8.76))))</f>
        <v/>
      </c>
      <c r="W135" s="343" t="e">
        <f>VLOOKUP(C135,$D$21:$Q$43,12,FALSE)</f>
        <v>#N/A</v>
      </c>
      <c r="X135" s="298">
        <f t="shared" ref="X135:X144" si="36">D135</f>
        <v>0</v>
      </c>
      <c r="Y135" s="298">
        <f t="shared" ref="Y135:Y144" si="37">K135</f>
        <v>0</v>
      </c>
      <c r="Z135" s="284"/>
    </row>
    <row r="136" spans="1:26" ht="15" customHeight="1" x14ac:dyDescent="0.25">
      <c r="A136" s="508"/>
      <c r="B136" s="511"/>
      <c r="C136" s="37"/>
      <c r="D136" s="33"/>
      <c r="E136" s="48"/>
      <c r="F136" s="102" t="str">
        <f t="shared" si="16"/>
        <v/>
      </c>
      <c r="G136" s="48"/>
      <c r="H136" s="306" t="str">
        <f>IF(AND(E136="",G136=""),"",SUM(F136:G144))</f>
        <v/>
      </c>
      <c r="J136" s="33"/>
      <c r="K136" s="33"/>
      <c r="L136" s="307" t="str">
        <f>IF(OR(J136="",K136=""),"",IF(J136="3",VLOOKUP(M136,'K% (Rede Convencional)'!$B$18:$M$29,8),(IF(J136="2",VLOOKUP(N136,'K% (Rede Convencional)'!$B$18:$M$29,9),(IF(J136="1",VLOOKUP(N136,'K% (Rede Convencional)'!$B$18:$M$29,10),(IF(J136="13",VLOOKUP(N136,'K% (Rede Convencional)'!$B$18:$M$29,11),(IF(J136="12",VLOOKUP(N136,'K% (Rede Convencional)'!$B$18:$M$29,12),0))))))))))</f>
        <v/>
      </c>
      <c r="M136" s="308" t="str">
        <f t="shared" si="31"/>
        <v/>
      </c>
      <c r="N136" s="308" t="str">
        <f>IF(K136="","",IF(K136="4 (4)","a",IF(OR(K136="2 (4)",K136="2 (2)"),VLOOKUP(K136,BT!$AE$21:$AF$22,2,FALSE),IF(OR(K136="1/0 (4)",K136="1/0 (2)"),VLOOKUP(K136,BT!$AE$24:$AF$25,2,FALSE),IF(OR(K136="4/0 (4)",K136="4/0 (2)",K136="4/0 (1/0)"),VLOOKUP(K136,BT!$AE$27:$AF$29,2,FALSE),IF(OR(K136="336,4 (4)",K136="336,4 (2)",K136="336,4 (1/0)",K136="336,4 (4/0)"),VLOOKUP(K136,BT!$AE$31:$AF$34,2,FALSE),0))))))</f>
        <v/>
      </c>
      <c r="O136" s="48"/>
      <c r="P136" s="309" t="str">
        <f t="shared" si="32"/>
        <v/>
      </c>
      <c r="Q136" s="309" t="str">
        <f>IF(P136="","",SUM($P$45:P136)+$W$115)</f>
        <v/>
      </c>
      <c r="R136" s="309" t="str">
        <f t="shared" si="33"/>
        <v/>
      </c>
      <c r="S136" s="310" t="str">
        <f>IF(OR(M136="a",N136="a"),VLOOKUP("a",'Características dos Cabos'!$D$25:$L$29,9),IF(OR(M136="b",M136="c",N136="b",N136="c"),VLOOKUP("b",'Características dos Cabos'!$D$25:$L$29,9),IF(OR(M136="d",M136="e",N136="d",N136="e"),VLOOKUP("c",'Características dos Cabos'!$D$25:$L$29,9),IF(OR(M136="f",M136="g",M136="h",N136="f",N136="g",N136="h"),VLOOKUP("d",'Características dos Cabos'!$D$25:$L$29,9),IF(OR(M136="i",M136="j",M136="l",M136="m",N136="i",N136="j",N136="l",N136="m"),VLOOKUP("e",'Características dos Cabos'!$D$25:$L$29,9),"")))))</f>
        <v/>
      </c>
      <c r="T136" s="309" t="str">
        <f t="shared" si="34"/>
        <v/>
      </c>
      <c r="U136" s="310" t="str">
        <f>IF(OR(M136="a",N136="a"),VLOOKUP("a",'Características dos Cabos'!$D$25:$L$29,3),IF(OR(M136="b",M136="c",N136="b",N136="c"),VLOOKUP("b",'Características dos Cabos'!$D$25:$L$29,3),IF(OR(M136="d",M136="e",N136="d",N136="e"),VLOOKUP("c",'Características dos Cabos'!$D$25:$L$29,3),IF(OR(M136="f",M136="g",M136="h",N136="f",N136="g",N136="h"),VLOOKUP("d",'Características dos Cabos'!$D$25:$L$29,3),IF(OR(M136="i",M136="j",M136="l",M136="m",N136="i",N136="j",N136="l",N136="m"),VLOOKUP("e",'Características dos Cabos'!$D$25:$L$29,3),"")))))</f>
        <v/>
      </c>
      <c r="V136" s="311" t="str">
        <f t="shared" si="35"/>
        <v/>
      </c>
      <c r="W136" s="284"/>
      <c r="X136" s="298">
        <f t="shared" si="36"/>
        <v>0</v>
      </c>
      <c r="Y136" s="298">
        <f t="shared" si="37"/>
        <v>0</v>
      </c>
      <c r="Z136" s="284"/>
    </row>
    <row r="137" spans="1:26" ht="15" customHeight="1" x14ac:dyDescent="0.25">
      <c r="A137" s="508"/>
      <c r="B137" s="511"/>
      <c r="C137" s="37"/>
      <c r="D137" s="33"/>
      <c r="E137" s="48"/>
      <c r="F137" s="102" t="str">
        <f t="shared" si="16"/>
        <v/>
      </c>
      <c r="G137" s="48"/>
      <c r="H137" s="306" t="str">
        <f>IF(AND(E137="",G137=""),"",SUM(F137:G144))</f>
        <v/>
      </c>
      <c r="J137" s="33"/>
      <c r="K137" s="33"/>
      <c r="L137" s="307" t="str">
        <f>IF(OR(J137="",K137=""),"",IF(J137="3",VLOOKUP(M137,'K% (Rede Convencional)'!$B$18:$M$29,8),(IF(J137="2",VLOOKUP(N137,'K% (Rede Convencional)'!$B$18:$M$29,9),(IF(J137="1",VLOOKUP(N137,'K% (Rede Convencional)'!$B$18:$M$29,10),(IF(J137="13",VLOOKUP(N137,'K% (Rede Convencional)'!$B$18:$M$29,11),(IF(J137="12",VLOOKUP(N137,'K% (Rede Convencional)'!$B$18:$M$29,12),0))))))))))</f>
        <v/>
      </c>
      <c r="M137" s="308" t="str">
        <f t="shared" si="31"/>
        <v/>
      </c>
      <c r="N137" s="308" t="str">
        <f>IF(K137="","",IF(K137="4 (4)","a",IF(OR(K137="2 (4)",K137="2 (2)"),VLOOKUP(K137,BT!$AE$21:$AF$22,2,FALSE),IF(OR(K137="1/0 (4)",K137="1/0 (2)"),VLOOKUP(K137,BT!$AE$24:$AF$25,2,FALSE),IF(OR(K137="4/0 (4)",K137="4/0 (2)",K137="4/0 (1/0)"),VLOOKUP(K137,BT!$AE$27:$AF$29,2,FALSE),IF(OR(K137="336,4 (4)",K137="336,4 (2)",K137="336,4 (1/0)",K137="336,4 (4/0)"),VLOOKUP(K137,BT!$AE$31:$AF$34,2,FALSE),0))))))</f>
        <v/>
      </c>
      <c r="O137" s="48"/>
      <c r="P137" s="309" t="str">
        <f t="shared" si="32"/>
        <v/>
      </c>
      <c r="Q137" s="309" t="str">
        <f>IF(P137="","",SUM($P$45:P137)+$W$115)</f>
        <v/>
      </c>
      <c r="R137" s="309" t="str">
        <f t="shared" si="33"/>
        <v/>
      </c>
      <c r="S137" s="310" t="str">
        <f>IF(OR(M137="a",N137="a"),VLOOKUP("a",'Características dos Cabos'!$D$25:$L$29,9),IF(OR(M137="b",M137="c",N137="b",N137="c"),VLOOKUP("b",'Características dos Cabos'!$D$25:$L$29,9),IF(OR(M137="d",M137="e",N137="d",N137="e"),VLOOKUP("c",'Características dos Cabos'!$D$25:$L$29,9),IF(OR(M137="f",M137="g",M137="h",N137="f",N137="g",N137="h"),VLOOKUP("d",'Características dos Cabos'!$D$25:$L$29,9),IF(OR(M137="i",M137="j",M137="l",M137="m",N137="i",N137="j",N137="l",N137="m"),VLOOKUP("e",'Características dos Cabos'!$D$25:$L$29,9),"")))))</f>
        <v/>
      </c>
      <c r="T137" s="309" t="str">
        <f t="shared" si="34"/>
        <v/>
      </c>
      <c r="U137" s="310" t="str">
        <f>IF(OR(M137="a",N137="a"),VLOOKUP("a",'Características dos Cabos'!$D$25:$L$29,3),IF(OR(M137="b",M137="c",N137="b",N137="c"),VLOOKUP("b",'Características dos Cabos'!$D$25:$L$29,3),IF(OR(M137="d",M137="e",N137="d",N137="e"),VLOOKUP("c",'Características dos Cabos'!$D$25:$L$29,3),IF(OR(M137="f",M137="g",M137="h",N137="f",N137="g",N137="h"),VLOOKUP("d",'Características dos Cabos'!$D$25:$L$29,3),IF(OR(M137="i",M137="j",M137="l",M137="m",N137="i",N137="j",N137="l",N137="m"),VLOOKUP("e",'Características dos Cabos'!$D$25:$L$29,3),"")))))</f>
        <v/>
      </c>
      <c r="V137" s="311" t="str">
        <f t="shared" si="35"/>
        <v/>
      </c>
      <c r="W137" s="284"/>
      <c r="X137" s="298">
        <f t="shared" si="36"/>
        <v>0</v>
      </c>
      <c r="Y137" s="298">
        <f t="shared" si="37"/>
        <v>0</v>
      </c>
      <c r="Z137" s="284"/>
    </row>
    <row r="138" spans="1:26" ht="15" customHeight="1" x14ac:dyDescent="0.25">
      <c r="A138" s="508"/>
      <c r="B138" s="511"/>
      <c r="C138" s="37"/>
      <c r="D138" s="33"/>
      <c r="E138" s="48"/>
      <c r="F138" s="102" t="str">
        <f t="shared" si="16"/>
        <v/>
      </c>
      <c r="G138" s="48"/>
      <c r="H138" s="306" t="str">
        <f>IF(AND(E138="",G138=""),"",SUM(F138:G144))</f>
        <v/>
      </c>
      <c r="J138" s="33"/>
      <c r="K138" s="33"/>
      <c r="L138" s="307" t="str">
        <f>IF(OR(J138="",K138=""),"",IF(J138="3",VLOOKUP(M138,'K% (Rede Convencional)'!$B$18:$M$29,8),(IF(J138="2",VLOOKUP(N138,'K% (Rede Convencional)'!$B$18:$M$29,9),(IF(J138="1",VLOOKUP(N138,'K% (Rede Convencional)'!$B$18:$M$29,10),(IF(J138="13",VLOOKUP(N138,'K% (Rede Convencional)'!$B$18:$M$29,11),(IF(J138="12",VLOOKUP(N138,'K% (Rede Convencional)'!$B$18:$M$29,12),0))))))))))</f>
        <v/>
      </c>
      <c r="M138" s="308" t="str">
        <f t="shared" si="31"/>
        <v/>
      </c>
      <c r="N138" s="308" t="str">
        <f>IF(K138="","",IF(K138="4 (4)","a",IF(OR(K138="2 (4)",K138="2 (2)"),VLOOKUP(K138,BT!$AE$21:$AF$22,2,FALSE),IF(OR(K138="1/0 (4)",K138="1/0 (2)"),VLOOKUP(K138,BT!$AE$24:$AF$25,2,FALSE),IF(OR(K138="4/0 (4)",K138="4/0 (2)",K138="4/0 (1/0)"),VLOOKUP(K138,BT!$AE$27:$AF$29,2,FALSE),IF(OR(K138="336,4 (4)",K138="336,4 (2)",K138="336,4 (1/0)",K138="336,4 (4/0)"),VLOOKUP(K138,BT!$AE$31:$AF$34,2,FALSE),0))))))</f>
        <v/>
      </c>
      <c r="O138" s="48"/>
      <c r="P138" s="309" t="str">
        <f t="shared" si="32"/>
        <v/>
      </c>
      <c r="Q138" s="309" t="str">
        <f>IF(P138="","",SUM($P$45:P138)+$W$115)</f>
        <v/>
      </c>
      <c r="R138" s="309" t="str">
        <f t="shared" si="33"/>
        <v/>
      </c>
      <c r="S138" s="310" t="str">
        <f>IF(OR(M138="a",N138="a"),VLOOKUP("a",'Características dos Cabos'!$D$25:$L$29,9),IF(OR(M138="b",M138="c",N138="b",N138="c"),VLOOKUP("b",'Características dos Cabos'!$D$25:$L$29,9),IF(OR(M138="d",M138="e",N138="d",N138="e"),VLOOKUP("c",'Características dos Cabos'!$D$25:$L$29,9),IF(OR(M138="f",M138="g",M138="h",N138="f",N138="g",N138="h"),VLOOKUP("d",'Características dos Cabos'!$D$25:$L$29,9),IF(OR(M138="i",M138="j",M138="l",M138="m",N138="i",N138="j",N138="l",N138="m"),VLOOKUP("e",'Características dos Cabos'!$D$25:$L$29,9),"")))))</f>
        <v/>
      </c>
      <c r="T138" s="309" t="str">
        <f t="shared" si="34"/>
        <v/>
      </c>
      <c r="U138" s="310" t="str">
        <f>IF(OR(M138="a",N138="a"),VLOOKUP("a",'Características dos Cabos'!$D$25:$L$29,3),IF(OR(M138="b",M138="c",N138="b",N138="c"),VLOOKUP("b",'Características dos Cabos'!$D$25:$L$29,3),IF(OR(M138="d",M138="e",N138="d",N138="e"),VLOOKUP("c",'Características dos Cabos'!$D$25:$L$29,3),IF(OR(M138="f",M138="g",M138="h",N138="f",N138="g",N138="h"),VLOOKUP("d",'Características dos Cabos'!$D$25:$L$29,3),IF(OR(M138="i",M138="j",M138="l",M138="m",N138="i",N138="j",N138="l",N138="m"),VLOOKUP("e",'Características dos Cabos'!$D$25:$L$29,3),"")))))</f>
        <v/>
      </c>
      <c r="V138" s="311" t="str">
        <f t="shared" si="35"/>
        <v/>
      </c>
      <c r="W138" s="284"/>
      <c r="X138" s="298">
        <f t="shared" si="36"/>
        <v>0</v>
      </c>
      <c r="Y138" s="298">
        <f t="shared" si="37"/>
        <v>0</v>
      </c>
      <c r="Z138" s="284"/>
    </row>
    <row r="139" spans="1:26" ht="15" customHeight="1" x14ac:dyDescent="0.25">
      <c r="A139" s="508"/>
      <c r="B139" s="511"/>
      <c r="C139" s="37"/>
      <c r="D139" s="33"/>
      <c r="E139" s="48"/>
      <c r="F139" s="102" t="str">
        <f t="shared" si="16"/>
        <v/>
      </c>
      <c r="G139" s="48"/>
      <c r="H139" s="306" t="str">
        <f>IF(AND(E139="",G139=""),"",SUM(F139:G144))</f>
        <v/>
      </c>
      <c r="J139" s="33"/>
      <c r="K139" s="33"/>
      <c r="L139" s="307" t="str">
        <f>IF(OR(J139="",K139=""),"",IF(J139="3",VLOOKUP(M139,'K% (Rede Convencional)'!$B$18:$M$29,8),(IF(J139="2",VLOOKUP(N139,'K% (Rede Convencional)'!$B$18:$M$29,9),(IF(J139="1",VLOOKUP(N139,'K% (Rede Convencional)'!$B$18:$M$29,10),(IF(J139="13",VLOOKUP(N139,'K% (Rede Convencional)'!$B$18:$M$29,11),(IF(J139="12",VLOOKUP(N139,'K% (Rede Convencional)'!$B$18:$M$29,12),0))))))))))</f>
        <v/>
      </c>
      <c r="M139" s="308" t="str">
        <f t="shared" si="31"/>
        <v/>
      </c>
      <c r="N139" s="308" t="str">
        <f>IF(K139="","",IF(K139="4 (4)","a",IF(OR(K139="2 (4)",K139="2 (2)"),VLOOKUP(K139,BT!$AE$21:$AF$22,2,FALSE),IF(OR(K139="1/0 (4)",K139="1/0 (2)"),VLOOKUP(K139,BT!$AE$24:$AF$25,2,FALSE),IF(OR(K139="4/0 (4)",K139="4/0 (2)",K139="4/0 (1/0)"),VLOOKUP(K139,BT!$AE$27:$AF$29,2,FALSE),IF(OR(K139="336,4 (4)",K139="336,4 (2)",K139="336,4 (1/0)",K139="336,4 (4/0)"),VLOOKUP(K139,BT!$AE$31:$AF$34,2,FALSE),0))))))</f>
        <v/>
      </c>
      <c r="O139" s="48"/>
      <c r="P139" s="309" t="str">
        <f t="shared" si="32"/>
        <v/>
      </c>
      <c r="Q139" s="309" t="str">
        <f>IF(P139="","",SUM($P$45:P139)+$W$115)</f>
        <v/>
      </c>
      <c r="R139" s="309" t="str">
        <f t="shared" si="33"/>
        <v/>
      </c>
      <c r="S139" s="310" t="str">
        <f>IF(OR(M139="a",N139="a"),VLOOKUP("a",'Características dos Cabos'!$D$25:$L$29,9),IF(OR(M139="b",M139="c",N139="b",N139="c"),VLOOKUP("b",'Características dos Cabos'!$D$25:$L$29,9),IF(OR(M139="d",M139="e",N139="d",N139="e"),VLOOKUP("c",'Características dos Cabos'!$D$25:$L$29,9),IF(OR(M139="f",M139="g",M139="h",N139="f",N139="g",N139="h"),VLOOKUP("d",'Características dos Cabos'!$D$25:$L$29,9),IF(OR(M139="i",M139="j",M139="l",M139="m",N139="i",N139="j",N139="l",N139="m"),VLOOKUP("e",'Características dos Cabos'!$D$25:$L$29,9),"")))))</f>
        <v/>
      </c>
      <c r="T139" s="309" t="str">
        <f t="shared" si="34"/>
        <v/>
      </c>
      <c r="U139" s="310" t="str">
        <f>IF(OR(M139="a",N139="a"),VLOOKUP("a",'Características dos Cabos'!$D$25:$L$29,3),IF(OR(M139="b",M139="c",N139="b",N139="c"),VLOOKUP("b",'Características dos Cabos'!$D$25:$L$29,3),IF(OR(M139="d",M139="e",N139="d",N139="e"),VLOOKUP("c",'Características dos Cabos'!$D$25:$L$29,3),IF(OR(M139="f",M139="g",M139="h",N139="f",N139="g",N139="h"),VLOOKUP("d",'Características dos Cabos'!$D$25:$L$29,3),IF(OR(M139="i",M139="j",M139="l",M139="m",N139="i",N139="j",N139="l",N139="m"),VLOOKUP("e",'Características dos Cabos'!$D$25:$L$29,3),"")))))</f>
        <v/>
      </c>
      <c r="V139" s="311" t="str">
        <f t="shared" si="35"/>
        <v/>
      </c>
      <c r="W139" s="284"/>
      <c r="X139" s="298">
        <f t="shared" si="36"/>
        <v>0</v>
      </c>
      <c r="Y139" s="298">
        <f t="shared" si="37"/>
        <v>0</v>
      </c>
      <c r="Z139" s="284"/>
    </row>
    <row r="140" spans="1:26" ht="15" customHeight="1" x14ac:dyDescent="0.25">
      <c r="A140" s="508"/>
      <c r="B140" s="511"/>
      <c r="C140" s="37"/>
      <c r="D140" s="33"/>
      <c r="E140" s="48"/>
      <c r="F140" s="102" t="str">
        <f t="shared" si="16"/>
        <v/>
      </c>
      <c r="G140" s="48"/>
      <c r="H140" s="306" t="str">
        <f>IF(AND(E140="",G140=""),"",SUM(F140:G144))</f>
        <v/>
      </c>
      <c r="J140" s="33"/>
      <c r="K140" s="33"/>
      <c r="L140" s="307" t="str">
        <f>IF(OR(J140="",K140=""),"",IF(J140="3",VLOOKUP(M140,'K% (Rede Convencional)'!$B$18:$M$29,8),(IF(J140="2",VLOOKUP(N140,'K% (Rede Convencional)'!$B$18:$M$29,9),(IF(J140="1",VLOOKUP(N140,'K% (Rede Convencional)'!$B$18:$M$29,10),(IF(J140="13",VLOOKUP(N140,'K% (Rede Convencional)'!$B$18:$M$29,11),(IF(J140="12",VLOOKUP(N140,'K% (Rede Convencional)'!$B$18:$M$29,12),0))))))))))</f>
        <v/>
      </c>
      <c r="M140" s="308" t="str">
        <f t="shared" si="31"/>
        <v/>
      </c>
      <c r="N140" s="308" t="str">
        <f>IF(K140="","",IF(K140="4 (4)","a",IF(OR(K140="2 (4)",K140="2 (2)"),VLOOKUP(K140,BT!$AE$21:$AF$22,2,FALSE),IF(OR(K140="1/0 (4)",K140="1/0 (2)"),VLOOKUP(K140,BT!$AE$24:$AF$25,2,FALSE),IF(OR(K140="4/0 (4)",K140="4/0 (2)",K140="4/0 (1/0)"),VLOOKUP(K140,BT!$AE$27:$AF$29,2,FALSE),IF(OR(K140="336,4 (4)",K140="336,4 (2)",K140="336,4 (1/0)",K140="336,4 (4/0)"),VLOOKUP(K140,BT!$AE$31:$AF$34,2,FALSE),0))))))</f>
        <v/>
      </c>
      <c r="O140" s="48"/>
      <c r="P140" s="309" t="str">
        <f t="shared" si="32"/>
        <v/>
      </c>
      <c r="Q140" s="309" t="str">
        <f>IF(P140="","",SUM($P$45:P140)+$W$115)</f>
        <v/>
      </c>
      <c r="R140" s="309" t="str">
        <f t="shared" si="33"/>
        <v/>
      </c>
      <c r="S140" s="310" t="str">
        <f>IF(OR(M140="a",N140="a"),VLOOKUP("a",'Características dos Cabos'!$D$25:$L$29,9),IF(OR(M140="b",M140="c",N140="b",N140="c"),VLOOKUP("b",'Características dos Cabos'!$D$25:$L$29,9),IF(OR(M140="d",M140="e",N140="d",N140="e"),VLOOKUP("c",'Características dos Cabos'!$D$25:$L$29,9),IF(OR(M140="f",M140="g",M140="h",N140="f",N140="g",N140="h"),VLOOKUP("d",'Características dos Cabos'!$D$25:$L$29,9),IF(OR(M140="i",M140="j",M140="l",M140="m",N140="i",N140="j",N140="l",N140="m"),VLOOKUP("e",'Características dos Cabos'!$D$25:$L$29,9),"")))))</f>
        <v/>
      </c>
      <c r="T140" s="309" t="str">
        <f t="shared" si="34"/>
        <v/>
      </c>
      <c r="U140" s="310" t="str">
        <f>IF(OR(M140="a",N140="a"),VLOOKUP("a",'Características dos Cabos'!$D$25:$L$29,3),IF(OR(M140="b",M140="c",N140="b",N140="c"),VLOOKUP("b",'Características dos Cabos'!$D$25:$L$29,3),IF(OR(M140="d",M140="e",N140="d",N140="e"),VLOOKUP("c",'Características dos Cabos'!$D$25:$L$29,3),IF(OR(M140="f",M140="g",M140="h",N140="f",N140="g",N140="h"),VLOOKUP("d",'Características dos Cabos'!$D$25:$L$29,3),IF(OR(M140="i",M140="j",M140="l",M140="m",N140="i",N140="j",N140="l",N140="m"),VLOOKUP("e",'Características dos Cabos'!$D$25:$L$29,3),"")))))</f>
        <v/>
      </c>
      <c r="V140" s="311" t="str">
        <f t="shared" si="35"/>
        <v/>
      </c>
      <c r="W140" s="284"/>
      <c r="X140" s="298">
        <f t="shared" si="36"/>
        <v>0</v>
      </c>
      <c r="Y140" s="298">
        <f t="shared" si="37"/>
        <v>0</v>
      </c>
      <c r="Z140" s="284"/>
    </row>
    <row r="141" spans="1:26" ht="15" customHeight="1" x14ac:dyDescent="0.25">
      <c r="A141" s="508"/>
      <c r="B141" s="511"/>
      <c r="C141" s="37"/>
      <c r="D141" s="33"/>
      <c r="E141" s="48"/>
      <c r="F141" s="102" t="str">
        <f t="shared" si="16"/>
        <v/>
      </c>
      <c r="G141" s="48"/>
      <c r="H141" s="306" t="str">
        <f>IF(AND(E141="",G141=""),"",SUM(F141:G144))</f>
        <v/>
      </c>
      <c r="J141" s="33"/>
      <c r="K141" s="33"/>
      <c r="L141" s="307" t="str">
        <f>IF(OR(J141="",K141=""),"",IF(J141="3",VLOOKUP(M141,'K% (Rede Convencional)'!$B$18:$M$29,8),(IF(J141="2",VLOOKUP(N141,'K% (Rede Convencional)'!$B$18:$M$29,9),(IF(J141="1",VLOOKUP(N141,'K% (Rede Convencional)'!$B$18:$M$29,10),(IF(J141="13",VLOOKUP(N141,'K% (Rede Convencional)'!$B$18:$M$29,11),(IF(J141="12",VLOOKUP(N141,'K% (Rede Convencional)'!$B$18:$M$29,12),0))))))))))</f>
        <v/>
      </c>
      <c r="M141" s="308" t="str">
        <f t="shared" si="31"/>
        <v/>
      </c>
      <c r="N141" s="308" t="str">
        <f>IF(K141="","",IF(K141="4 (4)","a",IF(OR(K141="2 (4)",K141="2 (2)"),VLOOKUP(K141,BT!$AE$21:$AF$22,2,FALSE),IF(OR(K141="1/0 (4)",K141="1/0 (2)"),VLOOKUP(K141,BT!$AE$24:$AF$25,2,FALSE),IF(OR(K141="4/0 (4)",K141="4/0 (2)",K141="4/0 (1/0)"),VLOOKUP(K141,BT!$AE$27:$AF$29,2,FALSE),IF(OR(K141="336,4 (4)",K141="336,4 (2)",K141="336,4 (1/0)",K141="336,4 (4/0)"),VLOOKUP(K141,BT!$AE$31:$AF$34,2,FALSE),0))))))</f>
        <v/>
      </c>
      <c r="O141" s="48"/>
      <c r="P141" s="309" t="str">
        <f t="shared" si="32"/>
        <v/>
      </c>
      <c r="Q141" s="309" t="str">
        <f>IF(P141="","",SUM($P$45:P141)+$W$115)</f>
        <v/>
      </c>
      <c r="R141" s="309" t="str">
        <f t="shared" si="33"/>
        <v/>
      </c>
      <c r="S141" s="310" t="str">
        <f>IF(OR(M141="a",N141="a"),VLOOKUP("a",'Características dos Cabos'!$D$25:$L$29,9),IF(OR(M141="b",M141="c",N141="b",N141="c"),VLOOKUP("b",'Características dos Cabos'!$D$25:$L$29,9),IF(OR(M141="d",M141="e",N141="d",N141="e"),VLOOKUP("c",'Características dos Cabos'!$D$25:$L$29,9),IF(OR(M141="f",M141="g",M141="h",N141="f",N141="g",N141="h"),VLOOKUP("d",'Características dos Cabos'!$D$25:$L$29,9),IF(OR(M141="i",M141="j",M141="l",M141="m",N141="i",N141="j",N141="l",N141="m"),VLOOKUP("e",'Características dos Cabos'!$D$25:$L$29,9),"")))))</f>
        <v/>
      </c>
      <c r="T141" s="309" t="str">
        <f t="shared" si="34"/>
        <v/>
      </c>
      <c r="U141" s="310" t="str">
        <f>IF(OR(M141="a",N141="a"),VLOOKUP("a",'Características dos Cabos'!$D$25:$L$29,3),IF(OR(M141="b",M141="c",N141="b",N141="c"),VLOOKUP("b",'Características dos Cabos'!$D$25:$L$29,3),IF(OR(M141="d",M141="e",N141="d",N141="e"),VLOOKUP("c",'Características dos Cabos'!$D$25:$L$29,3),IF(OR(M141="f",M141="g",M141="h",N141="f",N141="g",N141="h"),VLOOKUP("d",'Características dos Cabos'!$D$25:$L$29,3),IF(OR(M141="i",M141="j",M141="l",M141="m",N141="i",N141="j",N141="l",N141="m"),VLOOKUP("e",'Características dos Cabos'!$D$25:$L$29,3),"")))))</f>
        <v/>
      </c>
      <c r="V141" s="311" t="str">
        <f t="shared" si="35"/>
        <v/>
      </c>
      <c r="W141" s="284"/>
      <c r="X141" s="298">
        <f t="shared" si="36"/>
        <v>0</v>
      </c>
      <c r="Y141" s="298">
        <f t="shared" si="37"/>
        <v>0</v>
      </c>
      <c r="Z141" s="284"/>
    </row>
    <row r="142" spans="1:26" ht="15" customHeight="1" x14ac:dyDescent="0.25">
      <c r="A142" s="508"/>
      <c r="B142" s="511"/>
      <c r="C142" s="37"/>
      <c r="D142" s="33"/>
      <c r="E142" s="48"/>
      <c r="F142" s="102" t="str">
        <f t="shared" si="16"/>
        <v/>
      </c>
      <c r="G142" s="48"/>
      <c r="H142" s="306" t="str">
        <f>IF(AND(E142="",G142=""),"",SUM(F142:G144))</f>
        <v/>
      </c>
      <c r="J142" s="33"/>
      <c r="K142" s="33"/>
      <c r="L142" s="307" t="str">
        <f>IF(OR(J142="",K142=""),"",IF(J142="3",VLOOKUP(M142,'K% (Rede Convencional)'!$B$18:$M$29,8),(IF(J142="2",VLOOKUP(N142,'K% (Rede Convencional)'!$B$18:$M$29,9),(IF(J142="1",VLOOKUP(N142,'K% (Rede Convencional)'!$B$18:$M$29,10),(IF(J142="13",VLOOKUP(N142,'K% (Rede Convencional)'!$B$18:$M$29,11),(IF(J142="12",VLOOKUP(N142,'K% (Rede Convencional)'!$B$18:$M$29,12),0))))))))))</f>
        <v/>
      </c>
      <c r="M142" s="308" t="str">
        <f t="shared" si="31"/>
        <v/>
      </c>
      <c r="N142" s="308" t="str">
        <f>IF(K142="","",IF(K142="4 (4)","a",IF(OR(K142="2 (4)",K142="2 (2)"),VLOOKUP(K142,BT!$AE$21:$AF$22,2,FALSE),IF(OR(K142="1/0 (4)",K142="1/0 (2)"),VLOOKUP(K142,BT!$AE$24:$AF$25,2,FALSE),IF(OR(K142="4/0 (4)",K142="4/0 (2)",K142="4/0 (1/0)"),VLOOKUP(K142,BT!$AE$27:$AF$29,2,FALSE),IF(OR(K142="336,4 (4)",K142="336,4 (2)",K142="336,4 (1/0)",K142="336,4 (4/0)"),VLOOKUP(K142,BT!$AE$31:$AF$34,2,FALSE),0))))))</f>
        <v/>
      </c>
      <c r="O142" s="48"/>
      <c r="P142" s="309" t="str">
        <f t="shared" si="32"/>
        <v/>
      </c>
      <c r="Q142" s="309" t="str">
        <f>IF(P142="","",SUM($P$45:P142)+$W$115)</f>
        <v/>
      </c>
      <c r="R142" s="309" t="str">
        <f t="shared" si="33"/>
        <v/>
      </c>
      <c r="S142" s="310" t="str">
        <f>IF(OR(M142="a",N142="a"),VLOOKUP("a",'Características dos Cabos'!$D$25:$L$29,9),IF(OR(M142="b",M142="c",N142="b",N142="c"),VLOOKUP("b",'Características dos Cabos'!$D$25:$L$29,9),IF(OR(M142="d",M142="e",N142="d",N142="e"),VLOOKUP("c",'Características dos Cabos'!$D$25:$L$29,9),IF(OR(M142="f",M142="g",M142="h",N142="f",N142="g",N142="h"),VLOOKUP("d",'Características dos Cabos'!$D$25:$L$29,9),IF(OR(M142="i",M142="j",M142="l",M142="m",N142="i",N142="j",N142="l",N142="m"),VLOOKUP("e",'Características dos Cabos'!$D$25:$L$29,9),"")))))</f>
        <v/>
      </c>
      <c r="T142" s="309" t="str">
        <f t="shared" si="34"/>
        <v/>
      </c>
      <c r="U142" s="310" t="str">
        <f>IF(OR(M142="a",N142="a"),VLOOKUP("a",'Características dos Cabos'!$D$25:$L$29,3),IF(OR(M142="b",M142="c",N142="b",N142="c"),VLOOKUP("b",'Características dos Cabos'!$D$25:$L$29,3),IF(OR(M142="d",M142="e",N142="d",N142="e"),VLOOKUP("c",'Características dos Cabos'!$D$25:$L$29,3),IF(OR(M142="f",M142="g",M142="h",N142="f",N142="g",N142="h"),VLOOKUP("d",'Características dos Cabos'!$D$25:$L$29,3),IF(OR(M142="i",M142="j",M142="l",M142="m",N142="i",N142="j",N142="l",N142="m"),VLOOKUP("e",'Características dos Cabos'!$D$25:$L$29,3),"")))))</f>
        <v/>
      </c>
      <c r="V142" s="311" t="str">
        <f t="shared" si="35"/>
        <v/>
      </c>
      <c r="W142" s="284"/>
      <c r="X142" s="298">
        <f t="shared" si="36"/>
        <v>0</v>
      </c>
      <c r="Y142" s="298">
        <f t="shared" si="37"/>
        <v>0</v>
      </c>
      <c r="Z142" s="284"/>
    </row>
    <row r="143" spans="1:26" ht="15" customHeight="1" x14ac:dyDescent="0.25">
      <c r="A143" s="508"/>
      <c r="B143" s="511"/>
      <c r="C143" s="37"/>
      <c r="D143" s="33"/>
      <c r="E143" s="48"/>
      <c r="F143" s="102" t="str">
        <f t="shared" si="16"/>
        <v/>
      </c>
      <c r="G143" s="48"/>
      <c r="H143" s="306" t="str">
        <f>IF(AND(E143="",G143=""),"",SUM(F143:G144))</f>
        <v/>
      </c>
      <c r="J143" s="33"/>
      <c r="K143" s="33"/>
      <c r="L143" s="307" t="str">
        <f>IF(OR(J143="",K143=""),"",IF(J143="3",VLOOKUP(M143,'K% (Rede Convencional)'!$B$18:$M$29,8),(IF(J143="2",VLOOKUP(N143,'K% (Rede Convencional)'!$B$18:$M$29,9),(IF(J143="1",VLOOKUP(N143,'K% (Rede Convencional)'!$B$18:$M$29,10),(IF(J143="13",VLOOKUP(N143,'K% (Rede Convencional)'!$B$18:$M$29,11),(IF(J143="12",VLOOKUP(N143,'K% (Rede Convencional)'!$B$18:$M$29,12),0))))))))))</f>
        <v/>
      </c>
      <c r="M143" s="308" t="str">
        <f t="shared" si="31"/>
        <v/>
      </c>
      <c r="N143" s="308" t="str">
        <f>IF(K143="","",IF(K143="4 (4)","a",IF(OR(K143="2 (4)",K143="2 (2)"),VLOOKUP(K143,BT!$AE$21:$AF$22,2,FALSE),IF(OR(K143="1/0 (4)",K143="1/0 (2)"),VLOOKUP(K143,BT!$AE$24:$AF$25,2,FALSE),IF(OR(K143="4/0 (4)",K143="4/0 (2)",K143="4/0 (1/0)"),VLOOKUP(K143,BT!$AE$27:$AF$29,2,FALSE),IF(OR(K143="336,4 (4)",K143="336,4 (2)",K143="336,4 (1/0)",K143="336,4 (4/0)"),VLOOKUP(K143,BT!$AE$31:$AF$34,2,FALSE),0))))))</f>
        <v/>
      </c>
      <c r="O143" s="48"/>
      <c r="P143" s="309" t="str">
        <f t="shared" si="32"/>
        <v/>
      </c>
      <c r="Q143" s="309" t="str">
        <f>IF(P143="","",SUM($P$45:P143)+$W$115)</f>
        <v/>
      </c>
      <c r="R143" s="309" t="str">
        <f t="shared" si="33"/>
        <v/>
      </c>
      <c r="S143" s="310" t="str">
        <f>IF(OR(M143="a",N143="a"),VLOOKUP("a",'Características dos Cabos'!$D$25:$L$29,9),IF(OR(M143="b",M143="c",N143="b",N143="c"),VLOOKUP("b",'Características dos Cabos'!$D$25:$L$29,9),IF(OR(M143="d",M143="e",N143="d",N143="e"),VLOOKUP("c",'Características dos Cabos'!$D$25:$L$29,9),IF(OR(M143="f",M143="g",M143="h",N143="f",N143="g",N143="h"),VLOOKUP("d",'Características dos Cabos'!$D$25:$L$29,9),IF(OR(M143="i",M143="j",M143="l",M143="m",N143="i",N143="j",N143="l",N143="m"),VLOOKUP("e",'Características dos Cabos'!$D$25:$L$29,9),"")))))</f>
        <v/>
      </c>
      <c r="T143" s="309" t="str">
        <f t="shared" si="34"/>
        <v/>
      </c>
      <c r="U143" s="310" t="str">
        <f>IF(OR(M143="a",N143="a"),VLOOKUP("a",'Características dos Cabos'!$D$25:$L$29,3),IF(OR(M143="b",M143="c",N143="b",N143="c"),VLOOKUP("b",'Características dos Cabos'!$D$25:$L$29,3),IF(OR(M143="d",M143="e",N143="d",N143="e"),VLOOKUP("c",'Características dos Cabos'!$D$25:$L$29,3),IF(OR(M143="f",M143="g",M143="h",N143="f",N143="g",N143="h"),VLOOKUP("d",'Características dos Cabos'!$D$25:$L$29,3),IF(OR(M143="i",M143="j",M143="l",M143="m",N143="i",N143="j",N143="l",N143="m"),VLOOKUP("e",'Características dos Cabos'!$D$25:$L$29,3),"")))))</f>
        <v/>
      </c>
      <c r="V143" s="311" t="str">
        <f t="shared" si="35"/>
        <v/>
      </c>
      <c r="W143" s="284"/>
      <c r="X143" s="298">
        <f t="shared" si="36"/>
        <v>0</v>
      </c>
      <c r="Y143" s="298">
        <f t="shared" si="37"/>
        <v>0</v>
      </c>
      <c r="Z143" s="284"/>
    </row>
    <row r="144" spans="1:26" ht="15" customHeight="1" thickBot="1" x14ac:dyDescent="0.3">
      <c r="A144" s="508"/>
      <c r="B144" s="512"/>
      <c r="C144" s="38"/>
      <c r="D144" s="34"/>
      <c r="E144" s="49"/>
      <c r="F144" s="64" t="str">
        <f t="shared" si="16"/>
        <v/>
      </c>
      <c r="G144" s="49"/>
      <c r="H144" s="328" t="str">
        <f>IF(AND(E144="",G144=""),"",SUM(F144:G144))</f>
        <v/>
      </c>
      <c r="J144" s="34"/>
      <c r="K144" s="34"/>
      <c r="L144" s="329" t="str">
        <f>IF(OR(J144="",K144=""),"",IF(J144="3",VLOOKUP(M144,'K% (Rede Convencional)'!$B$18:$M$29,8),(IF(J144="2",VLOOKUP(N144,'K% (Rede Convencional)'!$B$18:$M$29,9),(IF(J144="1",VLOOKUP(N144,'K% (Rede Convencional)'!$B$18:$M$29,10),(IF(J144="13",VLOOKUP(N144,'K% (Rede Convencional)'!$B$18:$M$29,11),(IF(J144="12",VLOOKUP(N144,'K% (Rede Convencional)'!$B$18:$M$29,12),0))))))))))</f>
        <v/>
      </c>
      <c r="M144" s="330" t="str">
        <f t="shared" si="31"/>
        <v/>
      </c>
      <c r="N144" s="330" t="str">
        <f>IF(K144="","",IF(K144="4 (4)","a",IF(OR(K144="2 (4)",K144="2 (2)"),VLOOKUP(K144,BT!$AE$21:$AF$22,2,FALSE),IF(OR(K144="1/0 (4)",K144="1/0 (2)"),VLOOKUP(K144,BT!$AE$24:$AF$25,2,FALSE),IF(OR(K144="4/0 (4)",K144="4/0 (2)",K144="4/0 (1/0)"),VLOOKUP(K144,BT!$AE$27:$AF$29,2,FALSE),IF(OR(K144="336,4 (4)",K144="336,4 (2)",K144="336,4 (1/0)",K144="336,4 (4/0)"),VLOOKUP(K144,BT!$AE$31:$AF$34,2,FALSE),0))))))</f>
        <v/>
      </c>
      <c r="O144" s="49"/>
      <c r="P144" s="331" t="str">
        <f t="shared" si="32"/>
        <v/>
      </c>
      <c r="Q144" s="331" t="str">
        <f>IF(P144="","",SUM($P$45:P144)+$W$115)</f>
        <v/>
      </c>
      <c r="R144" s="331" t="str">
        <f t="shared" si="33"/>
        <v/>
      </c>
      <c r="S144" s="332" t="str">
        <f>IF(N144="a",VLOOKUP("a",#REF!,9),IF(OR(N144="b",N144="c"),VLOOKUP("b",#REF!,9),IF(OR(N144="d",N144="e"),VLOOKUP("c",#REF!,9),IF(OR(N144="f",N144="g",N144="h"),VLOOKUP("d",#REF!,9),IF(OR(N144="i",N144="j",N144="l",N144="m"),VLOOKUP("e",#REF!,9),"")))))</f>
        <v/>
      </c>
      <c r="T144" s="331" t="str">
        <f t="shared" si="34"/>
        <v/>
      </c>
      <c r="U144" s="332" t="str">
        <f>IF(OR(M144="a",N144="a"),VLOOKUP("a",'Características dos Cabos'!$D$25:$L$29,3),IF(OR(M144="b",M144="c",N144="b",N144="c"),VLOOKUP("b",'Características dos Cabos'!$D$25:$L$29,3),IF(OR(M144="d",M144="e",N144="d",N144="e"),VLOOKUP("c",'Características dos Cabos'!$D$25:$L$29,3),IF(OR(M144="f",M144="g",M144="h",N144="f",N144="g",N144="h"),VLOOKUP("d",'Características dos Cabos'!$D$25:$L$29,3),IF(OR(M144="i",M144="j",M144="l",M144="m",N144="i",N144="j",N144="l",N144="m"),VLOOKUP("e",'Características dos Cabos'!$D$25:$L$29,3),"")))))</f>
        <v/>
      </c>
      <c r="V144" s="333" t="str">
        <f t="shared" si="35"/>
        <v/>
      </c>
      <c r="W144" s="284"/>
      <c r="X144" s="298">
        <f t="shared" si="36"/>
        <v>0</v>
      </c>
      <c r="Y144" s="298">
        <f t="shared" si="37"/>
        <v>0</v>
      </c>
      <c r="Z144" s="284"/>
    </row>
    <row r="145" spans="1:26" ht="15" customHeight="1" thickTop="1" x14ac:dyDescent="0.25">
      <c r="A145" s="508"/>
      <c r="B145" s="510" t="str">
        <f>CONCATENATE("Ramal 11 - Derivando no ponto ",C145)</f>
        <v xml:space="preserve">Ramal 11 - Derivando no ponto </v>
      </c>
      <c r="C145" s="36"/>
      <c r="D145" s="35"/>
      <c r="E145" s="47"/>
      <c r="F145" s="102" t="str">
        <f t="shared" si="16"/>
        <v/>
      </c>
      <c r="G145" s="47"/>
      <c r="H145" s="320" t="str">
        <f>IF(AND(E145="",G145=""),"",SUM(F145:G154))</f>
        <v/>
      </c>
      <c r="J145" s="35"/>
      <c r="K145" s="35"/>
      <c r="L145" s="321" t="str">
        <f>IF(OR(J145="",K145=""),"",IF(J145="3",VLOOKUP(M145,'K% (Rede Convencional)'!$B$18:$M$29,8),(IF(J145="2",VLOOKUP(N145,'K% (Rede Convencional)'!$B$18:$M$29,9),(IF(J145="1",VLOOKUP(N145,'K% (Rede Convencional)'!$B$18:$M$29,10),(IF(J145="13",VLOOKUP(N145,'K% (Rede Convencional)'!$B$18:$M$29,11),(IF(J145="12",VLOOKUP(N145,'K% (Rede Convencional)'!$B$18:$M$29,12),0))))))))))</f>
        <v/>
      </c>
      <c r="M145" s="294" t="str">
        <f t="shared" ref="M145:M154" si="38">IF(K145="4","a",IF(K145="2","b",IF(K145="1/0","d",IF(K145="4/0","f",IF(K145="336,4","i","")))))</f>
        <v/>
      </c>
      <c r="N145" s="294" t="str">
        <f>IF(K145="","",IF(K145="4 (4)","a",IF(OR(K145="2 (4)",K145="2 (2)"),VLOOKUP(K145,BT!$AE$21:$AF$22,2,FALSE),IF(OR(K145="1/0 (4)",K145="1/0 (2)"),VLOOKUP(K145,BT!$AE$24:$AF$25,2,FALSE),IF(OR(K145="4/0 (4)",K145="4/0 (2)",K145="4/0 (1/0)"),VLOOKUP(K145,BT!$AE$27:$AF$29,2,FALSE),IF(OR(K145="336,4 (4)",K145="336,4 (2)",K145="336,4 (1/0)",K145="336,4 (4/0)"),VLOOKUP(K145,BT!$AE$31:$AF$34,2,FALSE),0))))))</f>
        <v/>
      </c>
      <c r="O145" s="47"/>
      <c r="P145" s="322" t="str">
        <f t="shared" ref="P145:P154" si="39">IF(OR(H145="",L145="",O145=""),"",L145*H145*O145)</f>
        <v/>
      </c>
      <c r="Q145" s="322" t="str">
        <f>IF(P145="","",P145+VLOOKUP(C145,$D$21:$Q$43,13,FALSE))</f>
        <v/>
      </c>
      <c r="R145" s="322" t="str">
        <f t="shared" ref="R145:R154" si="40">IF(H145="","",IF(J145="3",H145*1000/($D$14*SQRT(3)),IF(J145="2",H145*1000*SQRT(3)/($D$14*2),IF(J145="1",H145*1000*SQRT(3)/$D$14,IF(J145="13",H145*1000/$D$16,IF(J145="12",H145*1000*2/$D$16,"erro"))))))</f>
        <v/>
      </c>
      <c r="S145" s="323" t="str">
        <f>IF(OR(M145="a",N145="a"),VLOOKUP("a",'Características dos Cabos'!$D$25:$L$29,9),IF(OR(M145="b",M145="c",N145="b",N145="c"),VLOOKUP("b",'Características dos Cabos'!$D$25:$L$29,9),IF(OR(M145="d",M145="e",N145="d",N145="e"),VLOOKUP("c",'Características dos Cabos'!$D$25:$L$29,9),IF(OR(M145="f",M145="g",M145="h",N145="f",N145="g",N145="h"),VLOOKUP("d",'Características dos Cabos'!$D$25:$L$29,9),IF(OR(M145="i",M145="j",M145="l",M145="m",N145="i",N145="j",N145="l",N145="m"),VLOOKUP("e",'Características dos Cabos'!$D$25:$L$29,9),"")))))</f>
        <v/>
      </c>
      <c r="T145" s="322" t="str">
        <f t="shared" ref="T145:T154" si="41">IF(S145="","",R145*100/S145)</f>
        <v/>
      </c>
      <c r="U145" s="323" t="str">
        <f>IF(OR(M145="a",N145="a"),VLOOKUP("a",'Características dos Cabos'!$D$25:$L$29,3),IF(OR(M145="b",M145="c",N145="b",N145="c"),VLOOKUP("b",'Características dos Cabos'!$D$25:$L$29,3),IF(OR(M145="d",M145="e",N145="d",N145="e"),VLOOKUP("c",'Características dos Cabos'!$D$25:$L$29,3),IF(OR(M145="f",M145="g",M145="h",N145="f",N145="g",N145="h"),VLOOKUP("d",'Características dos Cabos'!$D$25:$L$29,3),IF(OR(M145="i",M145="j",M145="l",M145="m",N145="i",N145="j",N145="l",N145="m"),VLOOKUP("e",'Características dos Cabos'!$D$25:$L$29,3),"")))))</f>
        <v/>
      </c>
      <c r="V145" s="324" t="str">
        <f t="shared" ref="V145:V154" si="42">IF(OR(O145="",$G$16="",H145="",N145=""),"",IF(J145="3",3*$L$12*U145*O145/1000*R145^2*8.76,IF(OR(J145="2",J145="13"),2*$L$12*U145*O145/1000*R145^2*8.76,IF(OR(J145="1",J145="12"),$L$12*U145*O145/1000*R145^2*8.76))))</f>
        <v/>
      </c>
      <c r="W145" s="343" t="e">
        <f>VLOOKUP(C145,$D$21:$Q$43,12,FALSE)</f>
        <v>#N/A</v>
      </c>
      <c r="X145" s="298">
        <f t="shared" ref="X145:X154" si="43">D145</f>
        <v>0</v>
      </c>
      <c r="Y145" s="298">
        <f t="shared" ref="Y145:Y154" si="44">K145</f>
        <v>0</v>
      </c>
      <c r="Z145" s="284"/>
    </row>
    <row r="146" spans="1:26" ht="15" customHeight="1" x14ac:dyDescent="0.25">
      <c r="A146" s="508"/>
      <c r="B146" s="511"/>
      <c r="C146" s="37"/>
      <c r="D146" s="33"/>
      <c r="E146" s="48"/>
      <c r="F146" s="102" t="str">
        <f t="shared" si="16"/>
        <v/>
      </c>
      <c r="G146" s="48"/>
      <c r="H146" s="306" t="str">
        <f>IF(AND(E146="",G146=""),"",SUM(F146:G154))</f>
        <v/>
      </c>
      <c r="J146" s="33"/>
      <c r="K146" s="33"/>
      <c r="L146" s="307" t="str">
        <f>IF(OR(J146="",K146=""),"",IF(J146="3",VLOOKUP(M146,'K% (Rede Convencional)'!$B$18:$M$29,8),(IF(J146="2",VLOOKUP(N146,'K% (Rede Convencional)'!$B$18:$M$29,9),(IF(J146="1",VLOOKUP(N146,'K% (Rede Convencional)'!$B$18:$M$29,10),(IF(J146="13",VLOOKUP(N146,'K% (Rede Convencional)'!$B$18:$M$29,11),(IF(J146="12",VLOOKUP(N146,'K% (Rede Convencional)'!$B$18:$M$29,12),0))))))))))</f>
        <v/>
      </c>
      <c r="M146" s="308" t="str">
        <f t="shared" si="38"/>
        <v/>
      </c>
      <c r="N146" s="308" t="str">
        <f>IF(K146="","",IF(K146="4 (4)","a",IF(OR(K146="2 (4)",K146="2 (2)"),VLOOKUP(K146,BT!$AE$21:$AF$22,2,FALSE),IF(OR(K146="1/0 (4)",K146="1/0 (2)"),VLOOKUP(K146,BT!$AE$24:$AF$25,2,FALSE),IF(OR(K146="4/0 (4)",K146="4/0 (2)",K146="4/0 (1/0)"),VLOOKUP(K146,BT!$AE$27:$AF$29,2,FALSE),IF(OR(K146="336,4 (4)",K146="336,4 (2)",K146="336,4 (1/0)",K146="336,4 (4/0)"),VLOOKUP(K146,BT!$AE$31:$AF$34,2,FALSE),0))))))</f>
        <v/>
      </c>
      <c r="O146" s="48"/>
      <c r="P146" s="309" t="str">
        <f t="shared" si="39"/>
        <v/>
      </c>
      <c r="Q146" s="309" t="str">
        <f>IF(P146="","",SUM($P$45:P146)+$W$115)</f>
        <v/>
      </c>
      <c r="R146" s="309" t="str">
        <f t="shared" si="40"/>
        <v/>
      </c>
      <c r="S146" s="310" t="str">
        <f>IF(OR(M146="a",N146="a"),VLOOKUP("a",'Características dos Cabos'!$D$25:$L$29,9),IF(OR(M146="b",M146="c",N146="b",N146="c"),VLOOKUP("b",'Características dos Cabos'!$D$25:$L$29,9),IF(OR(M146="d",M146="e",N146="d",N146="e"),VLOOKUP("c",'Características dos Cabos'!$D$25:$L$29,9),IF(OR(M146="f",M146="g",M146="h",N146="f",N146="g",N146="h"),VLOOKUP("d",'Características dos Cabos'!$D$25:$L$29,9),IF(OR(M146="i",M146="j",M146="l",M146="m",N146="i",N146="j",N146="l",N146="m"),VLOOKUP("e",'Características dos Cabos'!$D$25:$L$29,9),"")))))</f>
        <v/>
      </c>
      <c r="T146" s="309" t="str">
        <f t="shared" si="41"/>
        <v/>
      </c>
      <c r="U146" s="310" t="str">
        <f>IF(OR(M146="a",N146="a"),VLOOKUP("a",'Características dos Cabos'!$D$25:$L$29,3),IF(OR(M146="b",M146="c",N146="b",N146="c"),VLOOKUP("b",'Características dos Cabos'!$D$25:$L$29,3),IF(OR(M146="d",M146="e",N146="d",N146="e"),VLOOKUP("c",'Características dos Cabos'!$D$25:$L$29,3),IF(OR(M146="f",M146="g",M146="h",N146="f",N146="g",N146="h"),VLOOKUP("d",'Características dos Cabos'!$D$25:$L$29,3),IF(OR(M146="i",M146="j",M146="l",M146="m",N146="i",N146="j",N146="l",N146="m"),VLOOKUP("e",'Características dos Cabos'!$D$25:$L$29,3),"")))))</f>
        <v/>
      </c>
      <c r="V146" s="311" t="str">
        <f t="shared" si="42"/>
        <v/>
      </c>
      <c r="W146" s="284"/>
      <c r="X146" s="298">
        <f t="shared" si="43"/>
        <v>0</v>
      </c>
      <c r="Y146" s="298">
        <f t="shared" si="44"/>
        <v>0</v>
      </c>
      <c r="Z146" s="284"/>
    </row>
    <row r="147" spans="1:26" ht="15" customHeight="1" x14ac:dyDescent="0.25">
      <c r="A147" s="508"/>
      <c r="B147" s="511"/>
      <c r="C147" s="37"/>
      <c r="D147" s="33"/>
      <c r="E147" s="48"/>
      <c r="F147" s="102" t="str">
        <f t="shared" si="16"/>
        <v/>
      </c>
      <c r="G147" s="48"/>
      <c r="H147" s="306" t="str">
        <f>IF(AND(E147="",G147=""),"",SUM(F147:G154))</f>
        <v/>
      </c>
      <c r="J147" s="33"/>
      <c r="K147" s="33"/>
      <c r="L147" s="307" t="str">
        <f>IF(OR(J147="",K147=""),"",IF(J147="3",VLOOKUP(M147,'K% (Rede Convencional)'!$B$18:$M$29,8),(IF(J147="2",VLOOKUP(N147,'K% (Rede Convencional)'!$B$18:$M$29,9),(IF(J147="1",VLOOKUP(N147,'K% (Rede Convencional)'!$B$18:$M$29,10),(IF(J147="13",VLOOKUP(N147,'K% (Rede Convencional)'!$B$18:$M$29,11),(IF(J147="12",VLOOKUP(N147,'K% (Rede Convencional)'!$B$18:$M$29,12),0))))))))))</f>
        <v/>
      </c>
      <c r="M147" s="308" t="str">
        <f t="shared" si="38"/>
        <v/>
      </c>
      <c r="N147" s="308" t="str">
        <f>IF(K147="","",IF(K147="4 (4)","a",IF(OR(K147="2 (4)",K147="2 (2)"),VLOOKUP(K147,BT!$AE$21:$AF$22,2,FALSE),IF(OR(K147="1/0 (4)",K147="1/0 (2)"),VLOOKUP(K147,BT!$AE$24:$AF$25,2,FALSE),IF(OR(K147="4/0 (4)",K147="4/0 (2)",K147="4/0 (1/0)"),VLOOKUP(K147,BT!$AE$27:$AF$29,2,FALSE),IF(OR(K147="336,4 (4)",K147="336,4 (2)",K147="336,4 (1/0)",K147="336,4 (4/0)"),VLOOKUP(K147,BT!$AE$31:$AF$34,2,FALSE),0))))))</f>
        <v/>
      </c>
      <c r="O147" s="48"/>
      <c r="P147" s="309" t="str">
        <f t="shared" si="39"/>
        <v/>
      </c>
      <c r="Q147" s="309" t="str">
        <f>IF(P147="","",SUM($P$45:P147)+$W$115)</f>
        <v/>
      </c>
      <c r="R147" s="309" t="str">
        <f t="shared" si="40"/>
        <v/>
      </c>
      <c r="S147" s="310" t="str">
        <f>IF(OR(M147="a",N147="a"),VLOOKUP("a",'Características dos Cabos'!$D$25:$L$29,9),IF(OR(M147="b",M147="c",N147="b",N147="c"),VLOOKUP("b",'Características dos Cabos'!$D$25:$L$29,9),IF(OR(M147="d",M147="e",N147="d",N147="e"),VLOOKUP("c",'Características dos Cabos'!$D$25:$L$29,9),IF(OR(M147="f",M147="g",M147="h",N147="f",N147="g",N147="h"),VLOOKUP("d",'Características dos Cabos'!$D$25:$L$29,9),IF(OR(M147="i",M147="j",M147="l",M147="m",N147="i",N147="j",N147="l",N147="m"),VLOOKUP("e",'Características dos Cabos'!$D$25:$L$29,9),"")))))</f>
        <v/>
      </c>
      <c r="T147" s="309" t="str">
        <f t="shared" si="41"/>
        <v/>
      </c>
      <c r="U147" s="310" t="str">
        <f>IF(OR(M147="a",N147="a"),VLOOKUP("a",'Características dos Cabos'!$D$25:$L$29,3),IF(OR(M147="b",M147="c",N147="b",N147="c"),VLOOKUP("b",'Características dos Cabos'!$D$25:$L$29,3),IF(OR(M147="d",M147="e",N147="d",N147="e"),VLOOKUP("c",'Características dos Cabos'!$D$25:$L$29,3),IF(OR(M147="f",M147="g",M147="h",N147="f",N147="g",N147="h"),VLOOKUP("d",'Características dos Cabos'!$D$25:$L$29,3),IF(OR(M147="i",M147="j",M147="l",M147="m",N147="i",N147="j",N147="l",N147="m"),VLOOKUP("e",'Características dos Cabos'!$D$25:$L$29,3),"")))))</f>
        <v/>
      </c>
      <c r="V147" s="311" t="str">
        <f t="shared" si="42"/>
        <v/>
      </c>
      <c r="W147" s="284"/>
      <c r="X147" s="298">
        <f t="shared" si="43"/>
        <v>0</v>
      </c>
      <c r="Y147" s="298">
        <f t="shared" si="44"/>
        <v>0</v>
      </c>
      <c r="Z147" s="284"/>
    </row>
    <row r="148" spans="1:26" ht="15" customHeight="1" x14ac:dyDescent="0.25">
      <c r="A148" s="508"/>
      <c r="B148" s="511"/>
      <c r="C148" s="37"/>
      <c r="D148" s="33"/>
      <c r="E148" s="48"/>
      <c r="F148" s="102" t="str">
        <f t="shared" si="16"/>
        <v/>
      </c>
      <c r="G148" s="48"/>
      <c r="H148" s="306" t="str">
        <f>IF(AND(E148="",G148=""),"",SUM(F148:G154))</f>
        <v/>
      </c>
      <c r="J148" s="33"/>
      <c r="K148" s="33"/>
      <c r="L148" s="307" t="str">
        <f>IF(OR(J148="",K148=""),"",IF(J148="3",VLOOKUP(M148,'K% (Rede Convencional)'!$B$18:$M$29,8),(IF(J148="2",VLOOKUP(N148,'K% (Rede Convencional)'!$B$18:$M$29,9),(IF(J148="1",VLOOKUP(N148,'K% (Rede Convencional)'!$B$18:$M$29,10),(IF(J148="13",VLOOKUP(N148,'K% (Rede Convencional)'!$B$18:$M$29,11),(IF(J148="12",VLOOKUP(N148,'K% (Rede Convencional)'!$B$18:$M$29,12),0))))))))))</f>
        <v/>
      </c>
      <c r="M148" s="308" t="str">
        <f t="shared" si="38"/>
        <v/>
      </c>
      <c r="N148" s="308" t="str">
        <f>IF(K148="","",IF(K148="4 (4)","a",IF(OR(K148="2 (4)",K148="2 (2)"),VLOOKUP(K148,BT!$AE$21:$AF$22,2,FALSE),IF(OR(K148="1/0 (4)",K148="1/0 (2)"),VLOOKUP(K148,BT!$AE$24:$AF$25,2,FALSE),IF(OR(K148="4/0 (4)",K148="4/0 (2)",K148="4/0 (1/0)"),VLOOKUP(K148,BT!$AE$27:$AF$29,2,FALSE),IF(OR(K148="336,4 (4)",K148="336,4 (2)",K148="336,4 (1/0)",K148="336,4 (4/0)"),VLOOKUP(K148,BT!$AE$31:$AF$34,2,FALSE),0))))))</f>
        <v/>
      </c>
      <c r="O148" s="48"/>
      <c r="P148" s="309" t="str">
        <f t="shared" si="39"/>
        <v/>
      </c>
      <c r="Q148" s="309" t="str">
        <f>IF(P148="","",SUM($P$45:P148)+$W$115)</f>
        <v/>
      </c>
      <c r="R148" s="309" t="str">
        <f t="shared" si="40"/>
        <v/>
      </c>
      <c r="S148" s="310" t="str">
        <f>IF(OR(M148="a",N148="a"),VLOOKUP("a",'Características dos Cabos'!$D$25:$L$29,9),IF(OR(M148="b",M148="c",N148="b",N148="c"),VLOOKUP("b",'Características dos Cabos'!$D$25:$L$29,9),IF(OR(M148="d",M148="e",N148="d",N148="e"),VLOOKUP("c",'Características dos Cabos'!$D$25:$L$29,9),IF(OR(M148="f",M148="g",M148="h",N148="f",N148="g",N148="h"),VLOOKUP("d",'Características dos Cabos'!$D$25:$L$29,9),IF(OR(M148="i",M148="j",M148="l",M148="m",N148="i",N148="j",N148="l",N148="m"),VLOOKUP("e",'Características dos Cabos'!$D$25:$L$29,9),"")))))</f>
        <v/>
      </c>
      <c r="T148" s="309" t="str">
        <f t="shared" si="41"/>
        <v/>
      </c>
      <c r="U148" s="310" t="str">
        <f>IF(OR(M148="a",N148="a"),VLOOKUP("a",'Características dos Cabos'!$D$25:$L$29,3),IF(OR(M148="b",M148="c",N148="b",N148="c"),VLOOKUP("b",'Características dos Cabos'!$D$25:$L$29,3),IF(OR(M148="d",M148="e",N148="d",N148="e"),VLOOKUP("c",'Características dos Cabos'!$D$25:$L$29,3),IF(OR(M148="f",M148="g",M148="h",N148="f",N148="g",N148="h"),VLOOKUP("d",'Características dos Cabos'!$D$25:$L$29,3),IF(OR(M148="i",M148="j",M148="l",M148="m",N148="i",N148="j",N148="l",N148="m"),VLOOKUP("e",'Características dos Cabos'!$D$25:$L$29,3),"")))))</f>
        <v/>
      </c>
      <c r="V148" s="311" t="str">
        <f t="shared" si="42"/>
        <v/>
      </c>
      <c r="W148" s="284"/>
      <c r="X148" s="298">
        <f t="shared" si="43"/>
        <v>0</v>
      </c>
      <c r="Y148" s="298">
        <f t="shared" si="44"/>
        <v>0</v>
      </c>
      <c r="Z148" s="284"/>
    </row>
    <row r="149" spans="1:26" ht="15" customHeight="1" x14ac:dyDescent="0.25">
      <c r="A149" s="508"/>
      <c r="B149" s="511"/>
      <c r="C149" s="37"/>
      <c r="D149" s="33"/>
      <c r="E149" s="48"/>
      <c r="F149" s="102" t="str">
        <f t="shared" si="16"/>
        <v/>
      </c>
      <c r="G149" s="48"/>
      <c r="H149" s="306" t="str">
        <f>IF(AND(E149="",G149=""),"",SUM(F149:G154))</f>
        <v/>
      </c>
      <c r="J149" s="33"/>
      <c r="K149" s="33"/>
      <c r="L149" s="307" t="str">
        <f>IF(OR(J149="",K149=""),"",IF(J149="3",VLOOKUP(M149,'K% (Rede Convencional)'!$B$18:$M$29,8),(IF(J149="2",VLOOKUP(N149,'K% (Rede Convencional)'!$B$18:$M$29,9),(IF(J149="1",VLOOKUP(N149,'K% (Rede Convencional)'!$B$18:$M$29,10),(IF(J149="13",VLOOKUP(N149,'K% (Rede Convencional)'!$B$18:$M$29,11),(IF(J149="12",VLOOKUP(N149,'K% (Rede Convencional)'!$B$18:$M$29,12),0))))))))))</f>
        <v/>
      </c>
      <c r="M149" s="308" t="str">
        <f t="shared" si="38"/>
        <v/>
      </c>
      <c r="N149" s="308" t="str">
        <f>IF(K149="","",IF(K149="4 (4)","a",IF(OR(K149="2 (4)",K149="2 (2)"),VLOOKUP(K149,BT!$AE$21:$AF$22,2,FALSE),IF(OR(K149="1/0 (4)",K149="1/0 (2)"),VLOOKUP(K149,BT!$AE$24:$AF$25,2,FALSE),IF(OR(K149="4/0 (4)",K149="4/0 (2)",K149="4/0 (1/0)"),VLOOKUP(K149,BT!$AE$27:$AF$29,2,FALSE),IF(OR(K149="336,4 (4)",K149="336,4 (2)",K149="336,4 (1/0)",K149="336,4 (4/0)"),VLOOKUP(K149,BT!$AE$31:$AF$34,2,FALSE),0))))))</f>
        <v/>
      </c>
      <c r="O149" s="48"/>
      <c r="P149" s="309" t="str">
        <f t="shared" si="39"/>
        <v/>
      </c>
      <c r="Q149" s="309" t="str">
        <f>IF(P149="","",SUM($P$45:P149)+$W$115)</f>
        <v/>
      </c>
      <c r="R149" s="309" t="str">
        <f t="shared" si="40"/>
        <v/>
      </c>
      <c r="S149" s="310" t="str">
        <f>IF(OR(M149="a",N149="a"),VLOOKUP("a",'Características dos Cabos'!$D$25:$L$29,9),IF(OR(M149="b",M149="c",N149="b",N149="c"),VLOOKUP("b",'Características dos Cabos'!$D$25:$L$29,9),IF(OR(M149="d",M149="e",N149="d",N149="e"),VLOOKUP("c",'Características dos Cabos'!$D$25:$L$29,9),IF(OR(M149="f",M149="g",M149="h",N149="f",N149="g",N149="h"),VLOOKUP("d",'Características dos Cabos'!$D$25:$L$29,9),IF(OR(M149="i",M149="j",M149="l",M149="m",N149="i",N149="j",N149="l",N149="m"),VLOOKUP("e",'Características dos Cabos'!$D$25:$L$29,9),"")))))</f>
        <v/>
      </c>
      <c r="T149" s="309" t="str">
        <f t="shared" si="41"/>
        <v/>
      </c>
      <c r="U149" s="310" t="str">
        <f>IF(OR(M149="a",N149="a"),VLOOKUP("a",'Características dos Cabos'!$D$25:$L$29,3),IF(OR(M149="b",M149="c",N149="b",N149="c"),VLOOKUP("b",'Características dos Cabos'!$D$25:$L$29,3),IF(OR(M149="d",M149="e",N149="d",N149="e"),VLOOKUP("c",'Características dos Cabos'!$D$25:$L$29,3),IF(OR(M149="f",M149="g",M149="h",N149="f",N149="g",N149="h"),VLOOKUP("d",'Características dos Cabos'!$D$25:$L$29,3),IF(OR(M149="i",M149="j",M149="l",M149="m",N149="i",N149="j",N149="l",N149="m"),VLOOKUP("e",'Características dos Cabos'!$D$25:$L$29,3),"")))))</f>
        <v/>
      </c>
      <c r="V149" s="311" t="str">
        <f t="shared" si="42"/>
        <v/>
      </c>
      <c r="W149" s="284"/>
      <c r="X149" s="298">
        <f t="shared" si="43"/>
        <v>0</v>
      </c>
      <c r="Y149" s="298">
        <f t="shared" si="44"/>
        <v>0</v>
      </c>
      <c r="Z149" s="284"/>
    </row>
    <row r="150" spans="1:26" ht="15" customHeight="1" x14ac:dyDescent="0.25">
      <c r="A150" s="508"/>
      <c r="B150" s="511"/>
      <c r="C150" s="37"/>
      <c r="D150" s="33"/>
      <c r="E150" s="48"/>
      <c r="F150" s="102" t="str">
        <f t="shared" ref="F150:F194" si="45">IF(OR(E150="",$G$12=""),"",E150*$G$12*($J$12/100+1)^($J$16-1))</f>
        <v/>
      </c>
      <c r="G150" s="48"/>
      <c r="H150" s="306" t="str">
        <f>IF(AND(E150="",G150=""),"",SUM(F150:G154))</f>
        <v/>
      </c>
      <c r="J150" s="33"/>
      <c r="K150" s="33"/>
      <c r="L150" s="307" t="str">
        <f>IF(OR(J150="",K150=""),"",IF(J150="3",VLOOKUP(M150,'K% (Rede Convencional)'!$B$18:$M$29,8),(IF(J150="2",VLOOKUP(N150,'K% (Rede Convencional)'!$B$18:$M$29,9),(IF(J150="1",VLOOKUP(N150,'K% (Rede Convencional)'!$B$18:$M$29,10),(IF(J150="13",VLOOKUP(N150,'K% (Rede Convencional)'!$B$18:$M$29,11),(IF(J150="12",VLOOKUP(N150,'K% (Rede Convencional)'!$B$18:$M$29,12),0))))))))))</f>
        <v/>
      </c>
      <c r="M150" s="308" t="str">
        <f t="shared" si="38"/>
        <v/>
      </c>
      <c r="N150" s="308" t="str">
        <f>IF(K150="","",IF(K150="4 (4)","a",IF(OR(K150="2 (4)",K150="2 (2)"),VLOOKUP(K150,BT!$AE$21:$AF$22,2,FALSE),IF(OR(K150="1/0 (4)",K150="1/0 (2)"),VLOOKUP(K150,BT!$AE$24:$AF$25,2,FALSE),IF(OR(K150="4/0 (4)",K150="4/0 (2)",K150="4/0 (1/0)"),VLOOKUP(K150,BT!$AE$27:$AF$29,2,FALSE),IF(OR(K150="336,4 (4)",K150="336,4 (2)",K150="336,4 (1/0)",K150="336,4 (4/0)"),VLOOKUP(K150,BT!$AE$31:$AF$34,2,FALSE),0))))))</f>
        <v/>
      </c>
      <c r="O150" s="48"/>
      <c r="P150" s="309" t="str">
        <f t="shared" si="39"/>
        <v/>
      </c>
      <c r="Q150" s="309" t="str">
        <f>IF(P150="","",SUM($P$45:P150)+$W$115)</f>
        <v/>
      </c>
      <c r="R150" s="309" t="str">
        <f t="shared" si="40"/>
        <v/>
      </c>
      <c r="S150" s="310" t="str">
        <f>IF(OR(M150="a",N150="a"),VLOOKUP("a",'Características dos Cabos'!$D$25:$L$29,9),IF(OR(M150="b",M150="c",N150="b",N150="c"),VLOOKUP("b",'Características dos Cabos'!$D$25:$L$29,9),IF(OR(M150="d",M150="e",N150="d",N150="e"),VLOOKUP("c",'Características dos Cabos'!$D$25:$L$29,9),IF(OR(M150="f",M150="g",M150="h",N150="f",N150="g",N150="h"),VLOOKUP("d",'Características dos Cabos'!$D$25:$L$29,9),IF(OR(M150="i",M150="j",M150="l",M150="m",N150="i",N150="j",N150="l",N150="m"),VLOOKUP("e",'Características dos Cabos'!$D$25:$L$29,9),"")))))</f>
        <v/>
      </c>
      <c r="T150" s="309" t="str">
        <f t="shared" si="41"/>
        <v/>
      </c>
      <c r="U150" s="310" t="str">
        <f>IF(OR(M150="a",N150="a"),VLOOKUP("a",'Características dos Cabos'!$D$25:$L$29,3),IF(OR(M150="b",M150="c",N150="b",N150="c"),VLOOKUP("b",'Características dos Cabos'!$D$25:$L$29,3),IF(OR(M150="d",M150="e",N150="d",N150="e"),VLOOKUP("c",'Características dos Cabos'!$D$25:$L$29,3),IF(OR(M150="f",M150="g",M150="h",N150="f",N150="g",N150="h"),VLOOKUP("d",'Características dos Cabos'!$D$25:$L$29,3),IF(OR(M150="i",M150="j",M150="l",M150="m",N150="i",N150="j",N150="l",N150="m"),VLOOKUP("e",'Características dos Cabos'!$D$25:$L$29,3),"")))))</f>
        <v/>
      </c>
      <c r="V150" s="311" t="str">
        <f t="shared" si="42"/>
        <v/>
      </c>
      <c r="W150" s="284"/>
      <c r="X150" s="298">
        <f t="shared" si="43"/>
        <v>0</v>
      </c>
      <c r="Y150" s="298">
        <f t="shared" si="44"/>
        <v>0</v>
      </c>
      <c r="Z150" s="284"/>
    </row>
    <row r="151" spans="1:26" ht="15" customHeight="1" x14ac:dyDescent="0.25">
      <c r="A151" s="508"/>
      <c r="B151" s="511"/>
      <c r="C151" s="37"/>
      <c r="D151" s="33"/>
      <c r="E151" s="48"/>
      <c r="F151" s="102" t="str">
        <f t="shared" si="45"/>
        <v/>
      </c>
      <c r="G151" s="48"/>
      <c r="H151" s="306" t="str">
        <f>IF(AND(E151="",G151=""),"",SUM(F151:G154))</f>
        <v/>
      </c>
      <c r="J151" s="33"/>
      <c r="K151" s="33"/>
      <c r="L151" s="307" t="str">
        <f>IF(OR(J151="",K151=""),"",IF(J151="3",VLOOKUP(M151,'K% (Rede Convencional)'!$B$18:$M$29,8),(IF(J151="2",VLOOKUP(N151,'K% (Rede Convencional)'!$B$18:$M$29,9),(IF(J151="1",VLOOKUP(N151,'K% (Rede Convencional)'!$B$18:$M$29,10),(IF(J151="13",VLOOKUP(N151,'K% (Rede Convencional)'!$B$18:$M$29,11),(IF(J151="12",VLOOKUP(N151,'K% (Rede Convencional)'!$B$18:$M$29,12),0))))))))))</f>
        <v/>
      </c>
      <c r="M151" s="308" t="str">
        <f t="shared" si="38"/>
        <v/>
      </c>
      <c r="N151" s="308" t="str">
        <f>IF(K151="","",IF(K151="4 (4)","a",IF(OR(K151="2 (4)",K151="2 (2)"),VLOOKUP(K151,BT!$AE$21:$AF$22,2,FALSE),IF(OR(K151="1/0 (4)",K151="1/0 (2)"),VLOOKUP(K151,BT!$AE$24:$AF$25,2,FALSE),IF(OR(K151="4/0 (4)",K151="4/0 (2)",K151="4/0 (1/0)"),VLOOKUP(K151,BT!$AE$27:$AF$29,2,FALSE),IF(OR(K151="336,4 (4)",K151="336,4 (2)",K151="336,4 (1/0)",K151="336,4 (4/0)"),VLOOKUP(K151,BT!$AE$31:$AF$34,2,FALSE),0))))))</f>
        <v/>
      </c>
      <c r="O151" s="48"/>
      <c r="P151" s="309" t="str">
        <f t="shared" si="39"/>
        <v/>
      </c>
      <c r="Q151" s="309" t="str">
        <f>IF(P151="","",SUM($P$45:P151)+$W$115)</f>
        <v/>
      </c>
      <c r="R151" s="309" t="str">
        <f t="shared" si="40"/>
        <v/>
      </c>
      <c r="S151" s="310" t="str">
        <f>IF(OR(M151="a",N151="a"),VLOOKUP("a",'Características dos Cabos'!$D$25:$L$29,9),IF(OR(M151="b",M151="c",N151="b",N151="c"),VLOOKUP("b",'Características dos Cabos'!$D$25:$L$29,9),IF(OR(M151="d",M151="e",N151="d",N151="e"),VLOOKUP("c",'Características dos Cabos'!$D$25:$L$29,9),IF(OR(M151="f",M151="g",M151="h",N151="f",N151="g",N151="h"),VLOOKUP("d",'Características dos Cabos'!$D$25:$L$29,9),IF(OR(M151="i",M151="j",M151="l",M151="m",N151="i",N151="j",N151="l",N151="m"),VLOOKUP("e",'Características dos Cabos'!$D$25:$L$29,9),"")))))</f>
        <v/>
      </c>
      <c r="T151" s="309" t="str">
        <f t="shared" si="41"/>
        <v/>
      </c>
      <c r="U151" s="310" t="str">
        <f>IF(OR(M151="a",N151="a"),VLOOKUP("a",'Características dos Cabos'!$D$25:$L$29,3),IF(OR(M151="b",M151="c",N151="b",N151="c"),VLOOKUP("b",'Características dos Cabos'!$D$25:$L$29,3),IF(OR(M151="d",M151="e",N151="d",N151="e"),VLOOKUP("c",'Características dos Cabos'!$D$25:$L$29,3),IF(OR(M151="f",M151="g",M151="h",N151="f",N151="g",N151="h"),VLOOKUP("d",'Características dos Cabos'!$D$25:$L$29,3),IF(OR(M151="i",M151="j",M151="l",M151="m",N151="i",N151="j",N151="l",N151="m"),VLOOKUP("e",'Características dos Cabos'!$D$25:$L$29,3),"")))))</f>
        <v/>
      </c>
      <c r="V151" s="311" t="str">
        <f t="shared" si="42"/>
        <v/>
      </c>
      <c r="W151" s="284"/>
      <c r="X151" s="298">
        <f t="shared" si="43"/>
        <v>0</v>
      </c>
      <c r="Y151" s="298">
        <f t="shared" si="44"/>
        <v>0</v>
      </c>
      <c r="Z151" s="284"/>
    </row>
    <row r="152" spans="1:26" ht="15" customHeight="1" x14ac:dyDescent="0.25">
      <c r="A152" s="508"/>
      <c r="B152" s="511"/>
      <c r="C152" s="37"/>
      <c r="D152" s="33"/>
      <c r="E152" s="48"/>
      <c r="F152" s="102" t="str">
        <f t="shared" si="45"/>
        <v/>
      </c>
      <c r="G152" s="48"/>
      <c r="H152" s="306" t="str">
        <f>IF(AND(E152="",G152=""),"",SUM(F152:G154))</f>
        <v/>
      </c>
      <c r="J152" s="33"/>
      <c r="K152" s="33"/>
      <c r="L152" s="307" t="str">
        <f>IF(OR(J152="",K152=""),"",IF(J152="3",VLOOKUP(M152,'K% (Rede Convencional)'!$B$18:$M$29,8),(IF(J152="2",VLOOKUP(N152,'K% (Rede Convencional)'!$B$18:$M$29,9),(IF(J152="1",VLOOKUP(N152,'K% (Rede Convencional)'!$B$18:$M$29,10),(IF(J152="13",VLOOKUP(N152,'K% (Rede Convencional)'!$B$18:$M$29,11),(IF(J152="12",VLOOKUP(N152,'K% (Rede Convencional)'!$B$18:$M$29,12),0))))))))))</f>
        <v/>
      </c>
      <c r="M152" s="308" t="str">
        <f t="shared" si="38"/>
        <v/>
      </c>
      <c r="N152" s="308" t="str">
        <f>IF(K152="","",IF(K152="4 (4)","a",IF(OR(K152="2 (4)",K152="2 (2)"),VLOOKUP(K152,BT!$AE$21:$AF$22,2,FALSE),IF(OR(K152="1/0 (4)",K152="1/0 (2)"),VLOOKUP(K152,BT!$AE$24:$AF$25,2,FALSE),IF(OR(K152="4/0 (4)",K152="4/0 (2)",K152="4/0 (1/0)"),VLOOKUP(K152,BT!$AE$27:$AF$29,2,FALSE),IF(OR(K152="336,4 (4)",K152="336,4 (2)",K152="336,4 (1/0)",K152="336,4 (4/0)"),VLOOKUP(K152,BT!$AE$31:$AF$34,2,FALSE),0))))))</f>
        <v/>
      </c>
      <c r="O152" s="48"/>
      <c r="P152" s="309" t="str">
        <f t="shared" si="39"/>
        <v/>
      </c>
      <c r="Q152" s="309" t="str">
        <f>IF(P152="","",SUM($P$45:P152)+$W$115)</f>
        <v/>
      </c>
      <c r="R152" s="309" t="str">
        <f t="shared" si="40"/>
        <v/>
      </c>
      <c r="S152" s="310" t="str">
        <f>IF(OR(M152="a",N152="a"),VLOOKUP("a",'Características dos Cabos'!$D$25:$L$29,9),IF(OR(M152="b",M152="c",N152="b",N152="c"),VLOOKUP("b",'Características dos Cabos'!$D$25:$L$29,9),IF(OR(M152="d",M152="e",N152="d",N152="e"),VLOOKUP("c",'Características dos Cabos'!$D$25:$L$29,9),IF(OR(M152="f",M152="g",M152="h",N152="f",N152="g",N152="h"),VLOOKUP("d",'Características dos Cabos'!$D$25:$L$29,9),IF(OR(M152="i",M152="j",M152="l",M152="m",N152="i",N152="j",N152="l",N152="m"),VLOOKUP("e",'Características dos Cabos'!$D$25:$L$29,9),"")))))</f>
        <v/>
      </c>
      <c r="T152" s="309" t="str">
        <f t="shared" si="41"/>
        <v/>
      </c>
      <c r="U152" s="310" t="str">
        <f>IF(OR(M152="a",N152="a"),VLOOKUP("a",'Características dos Cabos'!$D$25:$L$29,3),IF(OR(M152="b",M152="c",N152="b",N152="c"),VLOOKUP("b",'Características dos Cabos'!$D$25:$L$29,3),IF(OR(M152="d",M152="e",N152="d",N152="e"),VLOOKUP("c",'Características dos Cabos'!$D$25:$L$29,3),IF(OR(M152="f",M152="g",M152="h",N152="f",N152="g",N152="h"),VLOOKUP("d",'Características dos Cabos'!$D$25:$L$29,3),IF(OR(M152="i",M152="j",M152="l",M152="m",N152="i",N152="j",N152="l",N152="m"),VLOOKUP("e",'Características dos Cabos'!$D$25:$L$29,3),"")))))</f>
        <v/>
      </c>
      <c r="V152" s="311" t="str">
        <f t="shared" si="42"/>
        <v/>
      </c>
      <c r="W152" s="284"/>
      <c r="X152" s="298">
        <f t="shared" si="43"/>
        <v>0</v>
      </c>
      <c r="Y152" s="298">
        <f t="shared" si="44"/>
        <v>0</v>
      </c>
      <c r="Z152" s="284"/>
    </row>
    <row r="153" spans="1:26" ht="15" customHeight="1" x14ac:dyDescent="0.25">
      <c r="A153" s="508"/>
      <c r="B153" s="511"/>
      <c r="C153" s="37"/>
      <c r="D153" s="33"/>
      <c r="E153" s="48"/>
      <c r="F153" s="102" t="str">
        <f t="shared" si="45"/>
        <v/>
      </c>
      <c r="G153" s="48"/>
      <c r="H153" s="306" t="str">
        <f>IF(AND(E153="",G153=""),"",SUM(F153:G154))</f>
        <v/>
      </c>
      <c r="J153" s="33"/>
      <c r="K153" s="33"/>
      <c r="L153" s="307" t="str">
        <f>IF(OR(J153="",K153=""),"",IF(J153="3",VLOOKUP(M153,'K% (Rede Convencional)'!$B$18:$M$29,8),(IF(J153="2",VLOOKUP(N153,'K% (Rede Convencional)'!$B$18:$M$29,9),(IF(J153="1",VLOOKUP(N153,'K% (Rede Convencional)'!$B$18:$M$29,10),(IF(J153="13",VLOOKUP(N153,'K% (Rede Convencional)'!$B$18:$M$29,11),(IF(J153="12",VLOOKUP(N153,'K% (Rede Convencional)'!$B$18:$M$29,12),0))))))))))</f>
        <v/>
      </c>
      <c r="M153" s="308" t="str">
        <f t="shared" si="38"/>
        <v/>
      </c>
      <c r="N153" s="308" t="str">
        <f>IF(K153="","",IF(K153="4 (4)","a",IF(OR(K153="2 (4)",K153="2 (2)"),VLOOKUP(K153,BT!$AE$21:$AF$22,2,FALSE),IF(OR(K153="1/0 (4)",K153="1/0 (2)"),VLOOKUP(K153,BT!$AE$24:$AF$25,2,FALSE),IF(OR(K153="4/0 (4)",K153="4/0 (2)",K153="4/0 (1/0)"),VLOOKUP(K153,BT!$AE$27:$AF$29,2,FALSE),IF(OR(K153="336,4 (4)",K153="336,4 (2)",K153="336,4 (1/0)",K153="336,4 (4/0)"),VLOOKUP(K153,BT!$AE$31:$AF$34,2,FALSE),0))))))</f>
        <v/>
      </c>
      <c r="O153" s="48"/>
      <c r="P153" s="309" t="str">
        <f t="shared" si="39"/>
        <v/>
      </c>
      <c r="Q153" s="309" t="str">
        <f>IF(P153="","",SUM($P$45:P153)+$W$115)</f>
        <v/>
      </c>
      <c r="R153" s="309" t="str">
        <f t="shared" si="40"/>
        <v/>
      </c>
      <c r="S153" s="310" t="str">
        <f>IF(OR(M153="a",N153="a"),VLOOKUP("a",'Características dos Cabos'!$D$25:$L$29,9),IF(OR(M153="b",M153="c",N153="b",N153="c"),VLOOKUP("b",'Características dos Cabos'!$D$25:$L$29,9),IF(OR(M153="d",M153="e",N153="d",N153="e"),VLOOKUP("c",'Características dos Cabos'!$D$25:$L$29,9),IF(OR(M153="f",M153="g",M153="h",N153="f",N153="g",N153="h"),VLOOKUP("d",'Características dos Cabos'!$D$25:$L$29,9),IF(OR(M153="i",M153="j",M153="l",M153="m",N153="i",N153="j",N153="l",N153="m"),VLOOKUP("e",'Características dos Cabos'!$D$25:$L$29,9),"")))))</f>
        <v/>
      </c>
      <c r="T153" s="309" t="str">
        <f t="shared" si="41"/>
        <v/>
      </c>
      <c r="U153" s="310" t="str">
        <f>IF(OR(M153="a",N153="a"),VLOOKUP("a",'Características dos Cabos'!$D$25:$L$29,3),IF(OR(M153="b",M153="c",N153="b",N153="c"),VLOOKUP("b",'Características dos Cabos'!$D$25:$L$29,3),IF(OR(M153="d",M153="e",N153="d",N153="e"),VLOOKUP("c",'Características dos Cabos'!$D$25:$L$29,3),IF(OR(M153="f",M153="g",M153="h",N153="f",N153="g",N153="h"),VLOOKUP("d",'Características dos Cabos'!$D$25:$L$29,3),IF(OR(M153="i",M153="j",M153="l",M153="m",N153="i",N153="j",N153="l",N153="m"),VLOOKUP("e",'Características dos Cabos'!$D$25:$L$29,3),"")))))</f>
        <v/>
      </c>
      <c r="V153" s="311" t="str">
        <f t="shared" si="42"/>
        <v/>
      </c>
      <c r="W153" s="284"/>
      <c r="X153" s="298">
        <f t="shared" si="43"/>
        <v>0</v>
      </c>
      <c r="Y153" s="298">
        <f t="shared" si="44"/>
        <v>0</v>
      </c>
      <c r="Z153" s="284"/>
    </row>
    <row r="154" spans="1:26" ht="15" customHeight="1" thickBot="1" x14ac:dyDescent="0.3">
      <c r="A154" s="508"/>
      <c r="B154" s="512"/>
      <c r="C154" s="38"/>
      <c r="D154" s="34"/>
      <c r="E154" s="49"/>
      <c r="F154" s="64" t="str">
        <f t="shared" si="45"/>
        <v/>
      </c>
      <c r="G154" s="49"/>
      <c r="H154" s="328" t="str">
        <f>IF(AND(E154="",G154=""),"",SUM(F154:G154))</f>
        <v/>
      </c>
      <c r="J154" s="34"/>
      <c r="K154" s="34"/>
      <c r="L154" s="329" t="str">
        <f>IF(OR(J154="",K154=""),"",IF(J154="3",VLOOKUP(M154,'K% (Rede Convencional)'!$B$18:$M$29,8),(IF(J154="2",VLOOKUP(N154,'K% (Rede Convencional)'!$B$18:$M$29,9),(IF(J154="1",VLOOKUP(N154,'K% (Rede Convencional)'!$B$18:$M$29,10),(IF(J154="13",VLOOKUP(N154,'K% (Rede Convencional)'!$B$18:$M$29,11),(IF(J154="12",VLOOKUP(N154,'K% (Rede Convencional)'!$B$18:$M$29,12),0))))))))))</f>
        <v/>
      </c>
      <c r="M154" s="330" t="str">
        <f t="shared" si="38"/>
        <v/>
      </c>
      <c r="N154" s="330" t="str">
        <f>IF(K154="","",IF(K154="4 (4)","a",IF(OR(K154="2 (4)",K154="2 (2)"),VLOOKUP(K154,BT!$AE$21:$AF$22,2,FALSE),IF(OR(K154="1/0 (4)",K154="1/0 (2)"),VLOOKUP(K154,BT!$AE$24:$AF$25,2,FALSE),IF(OR(K154="4/0 (4)",K154="4/0 (2)",K154="4/0 (1/0)"),VLOOKUP(K154,BT!$AE$27:$AF$29,2,FALSE),IF(OR(K154="336,4 (4)",K154="336,4 (2)",K154="336,4 (1/0)",K154="336,4 (4/0)"),VLOOKUP(K154,BT!$AE$31:$AF$34,2,FALSE),0))))))</f>
        <v/>
      </c>
      <c r="O154" s="49"/>
      <c r="P154" s="331" t="str">
        <f t="shared" si="39"/>
        <v/>
      </c>
      <c r="Q154" s="331" t="str">
        <f>IF(P154="","",SUM($P$45:P154)+$W$115)</f>
        <v/>
      </c>
      <c r="R154" s="331" t="str">
        <f t="shared" si="40"/>
        <v/>
      </c>
      <c r="S154" s="332" t="str">
        <f>IF(N154="a",VLOOKUP("a",#REF!,9),IF(OR(N154="b",N154="c"),VLOOKUP("b",#REF!,9),IF(OR(N154="d",N154="e"),VLOOKUP("c",#REF!,9),IF(OR(N154="f",N154="g",N154="h"),VLOOKUP("d",#REF!,9),IF(OR(N154="i",N154="j",N154="l",N154="m"),VLOOKUP("e",#REF!,9),"")))))</f>
        <v/>
      </c>
      <c r="T154" s="331" t="str">
        <f t="shared" si="41"/>
        <v/>
      </c>
      <c r="U154" s="332" t="str">
        <f>IF(OR(M154="a",N154="a"),VLOOKUP("a",'Características dos Cabos'!$D$25:$L$29,3),IF(OR(M154="b",M154="c",N154="b",N154="c"),VLOOKUP("b",'Características dos Cabos'!$D$25:$L$29,3),IF(OR(M154="d",M154="e",N154="d",N154="e"),VLOOKUP("c",'Características dos Cabos'!$D$25:$L$29,3),IF(OR(M154="f",M154="g",M154="h",N154="f",N154="g",N154="h"),VLOOKUP("d",'Características dos Cabos'!$D$25:$L$29,3),IF(OR(M154="i",M154="j",M154="l",M154="m",N154="i",N154="j",N154="l",N154="m"),VLOOKUP("e",'Características dos Cabos'!$D$25:$L$29,3),"")))))</f>
        <v/>
      </c>
      <c r="V154" s="333" t="str">
        <f t="shared" si="42"/>
        <v/>
      </c>
      <c r="W154" s="284"/>
      <c r="X154" s="298">
        <f t="shared" si="43"/>
        <v>0</v>
      </c>
      <c r="Y154" s="298">
        <f t="shared" si="44"/>
        <v>0</v>
      </c>
      <c r="Z154" s="284"/>
    </row>
    <row r="155" spans="1:26" ht="15" customHeight="1" thickTop="1" x14ac:dyDescent="0.25">
      <c r="A155" s="508"/>
      <c r="B155" s="510" t="str">
        <f>CONCATENATE("Ramal 12 - Derivando no ponto ",C155)</f>
        <v xml:space="preserve">Ramal 12 - Derivando no ponto </v>
      </c>
      <c r="C155" s="36"/>
      <c r="D155" s="35"/>
      <c r="E155" s="47"/>
      <c r="F155" s="102" t="str">
        <f t="shared" si="45"/>
        <v/>
      </c>
      <c r="G155" s="47"/>
      <c r="H155" s="320" t="str">
        <f>IF(AND(E155="",G155=""),"",SUM(F155:G164))</f>
        <v/>
      </c>
      <c r="J155" s="35"/>
      <c r="K155" s="35"/>
      <c r="L155" s="321" t="str">
        <f>IF(OR(J155="",K155=""),"",IF(J155="3",VLOOKUP(M155,'K% (Rede Convencional)'!$B$18:$M$29,8),(IF(J155="2",VLOOKUP(N155,'K% (Rede Convencional)'!$B$18:$M$29,9),(IF(J155="1",VLOOKUP(N155,'K% (Rede Convencional)'!$B$18:$M$29,10),(IF(J155="13",VLOOKUP(N155,'K% (Rede Convencional)'!$B$18:$M$29,11),(IF(J155="12",VLOOKUP(N155,'K% (Rede Convencional)'!$B$18:$M$29,12),0))))))))))</f>
        <v/>
      </c>
      <c r="M155" s="294" t="str">
        <f t="shared" ref="M155:M164" si="46">IF(K155="4","a",IF(K155="2","b",IF(K155="1/0","d",IF(K155="4/0","f",IF(K155="336,4","i","")))))</f>
        <v/>
      </c>
      <c r="N155" s="294" t="str">
        <f>IF(K155="","",IF(K155="4 (4)","a",IF(OR(K155="2 (4)",K155="2 (2)"),VLOOKUP(K155,BT!$AE$21:$AF$22,2,FALSE),IF(OR(K155="1/0 (4)",K155="1/0 (2)"),VLOOKUP(K155,BT!$AE$24:$AF$25,2,FALSE),IF(OR(K155="4/0 (4)",K155="4/0 (2)",K155="4/0 (1/0)"),VLOOKUP(K155,BT!$AE$27:$AF$29,2,FALSE),IF(OR(K155="336,4 (4)",K155="336,4 (2)",K155="336,4 (1/0)",K155="336,4 (4/0)"),VLOOKUP(K155,BT!$AE$31:$AF$34,2,FALSE),0))))))</f>
        <v/>
      </c>
      <c r="O155" s="47"/>
      <c r="P155" s="322" t="str">
        <f t="shared" ref="P155:P164" si="47">IF(OR(H155="",L155="",O155=""),"",L155*H155*O155)</f>
        <v/>
      </c>
      <c r="Q155" s="322" t="str">
        <f>IF(P155="","",P155+VLOOKUP(C155,$D$21:$Q$43,13,FALSE))</f>
        <v/>
      </c>
      <c r="R155" s="322" t="str">
        <f t="shared" ref="R155:R164" si="48">IF(H155="","",IF(J155="3",H155*1000/($D$14*SQRT(3)),IF(J155="2",H155*1000*SQRT(3)/($D$14*2),IF(J155="1",H155*1000*SQRT(3)/$D$14,IF(J155="13",H155*1000/$D$16,IF(J155="12",H155*1000*2/$D$16,"erro"))))))</f>
        <v/>
      </c>
      <c r="S155" s="323" t="str">
        <f>IF(OR(M155="a",N155="a"),VLOOKUP("a",'Características dos Cabos'!$D$25:$L$29,9),IF(OR(M155="b",M155="c",N155="b",N155="c"),VLOOKUP("b",'Características dos Cabos'!$D$25:$L$29,9),IF(OR(M155="d",M155="e",N155="d",N155="e"),VLOOKUP("c",'Características dos Cabos'!$D$25:$L$29,9),IF(OR(M155="f",M155="g",M155="h",N155="f",N155="g",N155="h"),VLOOKUP("d",'Características dos Cabos'!$D$25:$L$29,9),IF(OR(M155="i",M155="j",M155="l",M155="m",N155="i",N155="j",N155="l",N155="m"),VLOOKUP("e",'Características dos Cabos'!$D$25:$L$29,9),"")))))</f>
        <v/>
      </c>
      <c r="T155" s="322" t="str">
        <f t="shared" ref="T155:T164" si="49">IF(S155="","",R155*100/S155)</f>
        <v/>
      </c>
      <c r="U155" s="323" t="str">
        <f>IF(OR(M155="a",N155="a"),VLOOKUP("a",'Características dos Cabos'!$D$25:$L$29,3),IF(OR(M155="b",M155="c",N155="b",N155="c"),VLOOKUP("b",'Características dos Cabos'!$D$25:$L$29,3),IF(OR(M155="d",M155="e",N155="d",N155="e"),VLOOKUP("c",'Características dos Cabos'!$D$25:$L$29,3),IF(OR(M155="f",M155="g",M155="h",N155="f",N155="g",N155="h"),VLOOKUP("d",'Características dos Cabos'!$D$25:$L$29,3),IF(OR(M155="i",M155="j",M155="l",M155="m",N155="i",N155="j",N155="l",N155="m"),VLOOKUP("e",'Características dos Cabos'!$D$25:$L$29,3),"")))))</f>
        <v/>
      </c>
      <c r="V155" s="324" t="str">
        <f t="shared" ref="V155:V164" si="50">IF(OR(O155="",$G$16="",H155="",N155=""),"",IF(J155="3",3*$L$12*U155*O155/1000*R155^2*8.76,IF(OR(J155="2",J155="13"),2*$L$12*U155*O155/1000*R155^2*8.76,IF(OR(J155="1",J155="12"),$L$12*U155*O155/1000*R155^2*8.76))))</f>
        <v/>
      </c>
      <c r="W155" s="343" t="e">
        <f>VLOOKUP(C155,$D$21:$Q$43,12,FALSE)</f>
        <v>#N/A</v>
      </c>
      <c r="X155" s="298">
        <f t="shared" ref="X155:X164" si="51">D155</f>
        <v>0</v>
      </c>
      <c r="Y155" s="298">
        <f t="shared" ref="Y155:Y164" si="52">K155</f>
        <v>0</v>
      </c>
      <c r="Z155" s="284"/>
    </row>
    <row r="156" spans="1:26" ht="15" customHeight="1" x14ac:dyDescent="0.25">
      <c r="A156" s="508"/>
      <c r="B156" s="511"/>
      <c r="C156" s="37"/>
      <c r="D156" s="33"/>
      <c r="E156" s="48"/>
      <c r="F156" s="102" t="str">
        <f t="shared" si="45"/>
        <v/>
      </c>
      <c r="G156" s="48"/>
      <c r="H156" s="306" t="str">
        <f>IF(AND(E156="",G156=""),"",SUM(F156:G164))</f>
        <v/>
      </c>
      <c r="J156" s="33"/>
      <c r="K156" s="33"/>
      <c r="L156" s="307" t="str">
        <f>IF(OR(J156="",K156=""),"",IF(J156="3",VLOOKUP(M156,'K% (Rede Convencional)'!$B$18:$M$29,8),(IF(J156="2",VLOOKUP(N156,'K% (Rede Convencional)'!$B$18:$M$29,9),(IF(J156="1",VLOOKUP(N156,'K% (Rede Convencional)'!$B$18:$M$29,10),(IF(J156="13",VLOOKUP(N156,'K% (Rede Convencional)'!$B$18:$M$29,11),(IF(J156="12",VLOOKUP(N156,'K% (Rede Convencional)'!$B$18:$M$29,12),0))))))))))</f>
        <v/>
      </c>
      <c r="M156" s="308" t="str">
        <f t="shared" si="46"/>
        <v/>
      </c>
      <c r="N156" s="308" t="str">
        <f>IF(K156="","",IF(K156="4 (4)","a",IF(OR(K156="2 (4)",K156="2 (2)"),VLOOKUP(K156,BT!$AE$21:$AF$22,2,FALSE),IF(OR(K156="1/0 (4)",K156="1/0 (2)"),VLOOKUP(K156,BT!$AE$24:$AF$25,2,FALSE),IF(OR(K156="4/0 (4)",K156="4/0 (2)",K156="4/0 (1/0)"),VLOOKUP(K156,BT!$AE$27:$AF$29,2,FALSE),IF(OR(K156="336,4 (4)",K156="336,4 (2)",K156="336,4 (1/0)",K156="336,4 (4/0)"),VLOOKUP(K156,BT!$AE$31:$AF$34,2,FALSE),0))))))</f>
        <v/>
      </c>
      <c r="O156" s="48"/>
      <c r="P156" s="309" t="str">
        <f t="shared" si="47"/>
        <v/>
      </c>
      <c r="Q156" s="309" t="str">
        <f>IF(P156="","",SUM($P$45:P156)+$W$115)</f>
        <v/>
      </c>
      <c r="R156" s="309" t="str">
        <f t="shared" si="48"/>
        <v/>
      </c>
      <c r="S156" s="310" t="str">
        <f>IF(OR(M156="a",N156="a"),VLOOKUP("a",'Características dos Cabos'!$D$25:$L$29,9),IF(OR(M156="b",M156="c",N156="b",N156="c"),VLOOKUP("b",'Características dos Cabos'!$D$25:$L$29,9),IF(OR(M156="d",M156="e",N156="d",N156="e"),VLOOKUP("c",'Características dos Cabos'!$D$25:$L$29,9),IF(OR(M156="f",M156="g",M156="h",N156="f",N156="g",N156="h"),VLOOKUP("d",'Características dos Cabos'!$D$25:$L$29,9),IF(OR(M156="i",M156="j",M156="l",M156="m",N156="i",N156="j",N156="l",N156="m"),VLOOKUP("e",'Características dos Cabos'!$D$25:$L$29,9),"")))))</f>
        <v/>
      </c>
      <c r="T156" s="309" t="str">
        <f t="shared" si="49"/>
        <v/>
      </c>
      <c r="U156" s="310" t="str">
        <f>IF(OR(M156="a",N156="a"),VLOOKUP("a",'Características dos Cabos'!$D$25:$L$29,3),IF(OR(M156="b",M156="c",N156="b",N156="c"),VLOOKUP("b",'Características dos Cabos'!$D$25:$L$29,3),IF(OR(M156="d",M156="e",N156="d",N156="e"),VLOOKUP("c",'Características dos Cabos'!$D$25:$L$29,3),IF(OR(M156="f",M156="g",M156="h",N156="f",N156="g",N156="h"),VLOOKUP("d",'Características dos Cabos'!$D$25:$L$29,3),IF(OR(M156="i",M156="j",M156="l",M156="m",N156="i",N156="j",N156="l",N156="m"),VLOOKUP("e",'Características dos Cabos'!$D$25:$L$29,3),"")))))</f>
        <v/>
      </c>
      <c r="V156" s="311" t="str">
        <f t="shared" si="50"/>
        <v/>
      </c>
      <c r="W156" s="284"/>
      <c r="X156" s="298">
        <f t="shared" si="51"/>
        <v>0</v>
      </c>
      <c r="Y156" s="298">
        <f t="shared" si="52"/>
        <v>0</v>
      </c>
      <c r="Z156" s="284"/>
    </row>
    <row r="157" spans="1:26" ht="15" customHeight="1" x14ac:dyDescent="0.25">
      <c r="A157" s="508"/>
      <c r="B157" s="511"/>
      <c r="C157" s="37"/>
      <c r="D157" s="33"/>
      <c r="E157" s="48"/>
      <c r="F157" s="102" t="str">
        <f t="shared" si="45"/>
        <v/>
      </c>
      <c r="G157" s="48"/>
      <c r="H157" s="306" t="str">
        <f>IF(AND(E157="",G157=""),"",SUM(F157:G164))</f>
        <v/>
      </c>
      <c r="J157" s="33"/>
      <c r="K157" s="33"/>
      <c r="L157" s="307" t="str">
        <f>IF(OR(J157="",K157=""),"",IF(J157="3",VLOOKUP(M157,'K% (Rede Convencional)'!$B$18:$M$29,8),(IF(J157="2",VLOOKUP(N157,'K% (Rede Convencional)'!$B$18:$M$29,9),(IF(J157="1",VLOOKUP(N157,'K% (Rede Convencional)'!$B$18:$M$29,10),(IF(J157="13",VLOOKUP(N157,'K% (Rede Convencional)'!$B$18:$M$29,11),(IF(J157="12",VLOOKUP(N157,'K% (Rede Convencional)'!$B$18:$M$29,12),0))))))))))</f>
        <v/>
      </c>
      <c r="M157" s="308" t="str">
        <f t="shared" si="46"/>
        <v/>
      </c>
      <c r="N157" s="308" t="str">
        <f>IF(K157="","",IF(K157="4 (4)","a",IF(OR(K157="2 (4)",K157="2 (2)"),VLOOKUP(K157,BT!$AE$21:$AF$22,2,FALSE),IF(OR(K157="1/0 (4)",K157="1/0 (2)"),VLOOKUP(K157,BT!$AE$24:$AF$25,2,FALSE),IF(OR(K157="4/0 (4)",K157="4/0 (2)",K157="4/0 (1/0)"),VLOOKUP(K157,BT!$AE$27:$AF$29,2,FALSE),IF(OR(K157="336,4 (4)",K157="336,4 (2)",K157="336,4 (1/0)",K157="336,4 (4/0)"),VLOOKUP(K157,BT!$AE$31:$AF$34,2,FALSE),0))))))</f>
        <v/>
      </c>
      <c r="O157" s="48"/>
      <c r="P157" s="309" t="str">
        <f t="shared" si="47"/>
        <v/>
      </c>
      <c r="Q157" s="309" t="str">
        <f>IF(P157="","",SUM($P$45:P157)+$W$115)</f>
        <v/>
      </c>
      <c r="R157" s="309" t="str">
        <f t="shared" si="48"/>
        <v/>
      </c>
      <c r="S157" s="310" t="str">
        <f>IF(OR(M157="a",N157="a"),VLOOKUP("a",'Características dos Cabos'!$D$25:$L$29,9),IF(OR(M157="b",M157="c",N157="b",N157="c"),VLOOKUP("b",'Características dos Cabos'!$D$25:$L$29,9),IF(OR(M157="d",M157="e",N157="d",N157="e"),VLOOKUP("c",'Características dos Cabos'!$D$25:$L$29,9),IF(OR(M157="f",M157="g",M157="h",N157="f",N157="g",N157="h"),VLOOKUP("d",'Características dos Cabos'!$D$25:$L$29,9),IF(OR(M157="i",M157="j",M157="l",M157="m",N157="i",N157="j",N157="l",N157="m"),VLOOKUP("e",'Características dos Cabos'!$D$25:$L$29,9),"")))))</f>
        <v/>
      </c>
      <c r="T157" s="309" t="str">
        <f t="shared" si="49"/>
        <v/>
      </c>
      <c r="U157" s="310" t="str">
        <f>IF(OR(M157="a",N157="a"),VLOOKUP("a",'Características dos Cabos'!$D$25:$L$29,3),IF(OR(M157="b",M157="c",N157="b",N157="c"),VLOOKUP("b",'Características dos Cabos'!$D$25:$L$29,3),IF(OR(M157="d",M157="e",N157="d",N157="e"),VLOOKUP("c",'Características dos Cabos'!$D$25:$L$29,3),IF(OR(M157="f",M157="g",M157="h",N157="f",N157="g",N157="h"),VLOOKUP("d",'Características dos Cabos'!$D$25:$L$29,3),IF(OR(M157="i",M157="j",M157="l",M157="m",N157="i",N157="j",N157="l",N157="m"),VLOOKUP("e",'Características dos Cabos'!$D$25:$L$29,3),"")))))</f>
        <v/>
      </c>
      <c r="V157" s="311" t="str">
        <f t="shared" si="50"/>
        <v/>
      </c>
      <c r="W157" s="284"/>
      <c r="X157" s="298">
        <f t="shared" si="51"/>
        <v>0</v>
      </c>
      <c r="Y157" s="298">
        <f t="shared" si="52"/>
        <v>0</v>
      </c>
      <c r="Z157" s="284"/>
    </row>
    <row r="158" spans="1:26" ht="15" customHeight="1" x14ac:dyDescent="0.25">
      <c r="A158" s="508"/>
      <c r="B158" s="511"/>
      <c r="C158" s="37"/>
      <c r="D158" s="33"/>
      <c r="E158" s="48"/>
      <c r="F158" s="102" t="str">
        <f t="shared" si="45"/>
        <v/>
      </c>
      <c r="G158" s="48"/>
      <c r="H158" s="306" t="str">
        <f>IF(AND(E158="",G158=""),"",SUM(F158:G164))</f>
        <v/>
      </c>
      <c r="J158" s="33"/>
      <c r="K158" s="33"/>
      <c r="L158" s="307" t="str">
        <f>IF(OR(J158="",K158=""),"",IF(J158="3",VLOOKUP(M158,'K% (Rede Convencional)'!$B$18:$M$29,8),(IF(J158="2",VLOOKUP(N158,'K% (Rede Convencional)'!$B$18:$M$29,9),(IF(J158="1",VLOOKUP(N158,'K% (Rede Convencional)'!$B$18:$M$29,10),(IF(J158="13",VLOOKUP(N158,'K% (Rede Convencional)'!$B$18:$M$29,11),(IF(J158="12",VLOOKUP(N158,'K% (Rede Convencional)'!$B$18:$M$29,12),0))))))))))</f>
        <v/>
      </c>
      <c r="M158" s="308" t="str">
        <f t="shared" si="46"/>
        <v/>
      </c>
      <c r="N158" s="308" t="str">
        <f>IF(K158="","",IF(K158="4 (4)","a",IF(OR(K158="2 (4)",K158="2 (2)"),VLOOKUP(K158,BT!$AE$21:$AF$22,2,FALSE),IF(OR(K158="1/0 (4)",K158="1/0 (2)"),VLOOKUP(K158,BT!$AE$24:$AF$25,2,FALSE),IF(OR(K158="4/0 (4)",K158="4/0 (2)",K158="4/0 (1/0)"),VLOOKUP(K158,BT!$AE$27:$AF$29,2,FALSE),IF(OR(K158="336,4 (4)",K158="336,4 (2)",K158="336,4 (1/0)",K158="336,4 (4/0)"),VLOOKUP(K158,BT!$AE$31:$AF$34,2,FALSE),0))))))</f>
        <v/>
      </c>
      <c r="O158" s="48"/>
      <c r="P158" s="309" t="str">
        <f t="shared" si="47"/>
        <v/>
      </c>
      <c r="Q158" s="309" t="str">
        <f>IF(P158="","",SUM($P$45:P158)+$W$115)</f>
        <v/>
      </c>
      <c r="R158" s="309" t="str">
        <f t="shared" si="48"/>
        <v/>
      </c>
      <c r="S158" s="310" t="str">
        <f>IF(OR(M158="a",N158="a"),VLOOKUP("a",'Características dos Cabos'!$D$25:$L$29,9),IF(OR(M158="b",M158="c",N158="b",N158="c"),VLOOKUP("b",'Características dos Cabos'!$D$25:$L$29,9),IF(OR(M158="d",M158="e",N158="d",N158="e"),VLOOKUP("c",'Características dos Cabos'!$D$25:$L$29,9),IF(OR(M158="f",M158="g",M158="h",N158="f",N158="g",N158="h"),VLOOKUP("d",'Características dos Cabos'!$D$25:$L$29,9),IF(OR(M158="i",M158="j",M158="l",M158="m",N158="i",N158="j",N158="l",N158="m"),VLOOKUP("e",'Características dos Cabos'!$D$25:$L$29,9),"")))))</f>
        <v/>
      </c>
      <c r="T158" s="309" t="str">
        <f t="shared" si="49"/>
        <v/>
      </c>
      <c r="U158" s="310" t="str">
        <f>IF(OR(M158="a",N158="a"),VLOOKUP("a",'Características dos Cabos'!$D$25:$L$29,3),IF(OR(M158="b",M158="c",N158="b",N158="c"),VLOOKUP("b",'Características dos Cabos'!$D$25:$L$29,3),IF(OR(M158="d",M158="e",N158="d",N158="e"),VLOOKUP("c",'Características dos Cabos'!$D$25:$L$29,3),IF(OR(M158="f",M158="g",M158="h",N158="f",N158="g",N158="h"),VLOOKUP("d",'Características dos Cabos'!$D$25:$L$29,3),IF(OR(M158="i",M158="j",M158="l",M158="m",N158="i",N158="j",N158="l",N158="m"),VLOOKUP("e",'Características dos Cabos'!$D$25:$L$29,3),"")))))</f>
        <v/>
      </c>
      <c r="V158" s="311" t="str">
        <f t="shared" si="50"/>
        <v/>
      </c>
      <c r="W158" s="284"/>
      <c r="X158" s="298">
        <f t="shared" si="51"/>
        <v>0</v>
      </c>
      <c r="Y158" s="298">
        <f t="shared" si="52"/>
        <v>0</v>
      </c>
      <c r="Z158" s="284"/>
    </row>
    <row r="159" spans="1:26" ht="15" customHeight="1" x14ac:dyDescent="0.25">
      <c r="A159" s="508"/>
      <c r="B159" s="511"/>
      <c r="C159" s="37"/>
      <c r="D159" s="33"/>
      <c r="E159" s="48"/>
      <c r="F159" s="102" t="str">
        <f t="shared" si="45"/>
        <v/>
      </c>
      <c r="G159" s="48"/>
      <c r="H159" s="306" t="str">
        <f>IF(AND(E159="",G159=""),"",SUM(F159:G164))</f>
        <v/>
      </c>
      <c r="J159" s="33"/>
      <c r="K159" s="33"/>
      <c r="L159" s="307" t="str">
        <f>IF(OR(J159="",K159=""),"",IF(J159="3",VLOOKUP(M159,'K% (Rede Convencional)'!$B$18:$M$29,8),(IF(J159="2",VLOOKUP(N159,'K% (Rede Convencional)'!$B$18:$M$29,9),(IF(J159="1",VLOOKUP(N159,'K% (Rede Convencional)'!$B$18:$M$29,10),(IF(J159="13",VLOOKUP(N159,'K% (Rede Convencional)'!$B$18:$M$29,11),(IF(J159="12",VLOOKUP(N159,'K% (Rede Convencional)'!$B$18:$M$29,12),0))))))))))</f>
        <v/>
      </c>
      <c r="M159" s="308" t="str">
        <f t="shared" si="46"/>
        <v/>
      </c>
      <c r="N159" s="308" t="str">
        <f>IF(K159="","",IF(K159="4 (4)","a",IF(OR(K159="2 (4)",K159="2 (2)"),VLOOKUP(K159,BT!$AE$21:$AF$22,2,FALSE),IF(OR(K159="1/0 (4)",K159="1/0 (2)"),VLOOKUP(K159,BT!$AE$24:$AF$25,2,FALSE),IF(OR(K159="4/0 (4)",K159="4/0 (2)",K159="4/0 (1/0)"),VLOOKUP(K159,BT!$AE$27:$AF$29,2,FALSE),IF(OR(K159="336,4 (4)",K159="336,4 (2)",K159="336,4 (1/0)",K159="336,4 (4/0)"),VLOOKUP(K159,BT!$AE$31:$AF$34,2,FALSE),0))))))</f>
        <v/>
      </c>
      <c r="O159" s="48"/>
      <c r="P159" s="309" t="str">
        <f t="shared" si="47"/>
        <v/>
      </c>
      <c r="Q159" s="309" t="str">
        <f>IF(P159="","",SUM($P$45:P159)+$W$115)</f>
        <v/>
      </c>
      <c r="R159" s="309" t="str">
        <f t="shared" si="48"/>
        <v/>
      </c>
      <c r="S159" s="310" t="str">
        <f>IF(OR(M159="a",N159="a"),VLOOKUP("a",'Características dos Cabos'!$D$25:$L$29,9),IF(OR(M159="b",M159="c",N159="b",N159="c"),VLOOKUP("b",'Características dos Cabos'!$D$25:$L$29,9),IF(OR(M159="d",M159="e",N159="d",N159="e"),VLOOKUP("c",'Características dos Cabos'!$D$25:$L$29,9),IF(OR(M159="f",M159="g",M159="h",N159="f",N159="g",N159="h"),VLOOKUP("d",'Características dos Cabos'!$D$25:$L$29,9),IF(OR(M159="i",M159="j",M159="l",M159="m",N159="i",N159="j",N159="l",N159="m"),VLOOKUP("e",'Características dos Cabos'!$D$25:$L$29,9),"")))))</f>
        <v/>
      </c>
      <c r="T159" s="309" t="str">
        <f t="shared" si="49"/>
        <v/>
      </c>
      <c r="U159" s="310" t="str">
        <f>IF(OR(M159="a",N159="a"),VLOOKUP("a",'Características dos Cabos'!$D$25:$L$29,3),IF(OR(M159="b",M159="c",N159="b",N159="c"),VLOOKUP("b",'Características dos Cabos'!$D$25:$L$29,3),IF(OR(M159="d",M159="e",N159="d",N159="e"),VLOOKUP("c",'Características dos Cabos'!$D$25:$L$29,3),IF(OR(M159="f",M159="g",M159="h",N159="f",N159="g",N159="h"),VLOOKUP("d",'Características dos Cabos'!$D$25:$L$29,3),IF(OR(M159="i",M159="j",M159="l",M159="m",N159="i",N159="j",N159="l",N159="m"),VLOOKUP("e",'Características dos Cabos'!$D$25:$L$29,3),"")))))</f>
        <v/>
      </c>
      <c r="V159" s="311" t="str">
        <f t="shared" si="50"/>
        <v/>
      </c>
      <c r="W159" s="284"/>
      <c r="X159" s="298">
        <f t="shared" si="51"/>
        <v>0</v>
      </c>
      <c r="Y159" s="298">
        <f t="shared" si="52"/>
        <v>0</v>
      </c>
      <c r="Z159" s="284"/>
    </row>
    <row r="160" spans="1:26" ht="15" customHeight="1" x14ac:dyDescent="0.25">
      <c r="A160" s="508"/>
      <c r="B160" s="511"/>
      <c r="C160" s="37"/>
      <c r="D160" s="33"/>
      <c r="E160" s="48"/>
      <c r="F160" s="102" t="str">
        <f t="shared" si="45"/>
        <v/>
      </c>
      <c r="G160" s="48"/>
      <c r="H160" s="306" t="str">
        <f>IF(AND(E160="",G160=""),"",SUM(F160:G164))</f>
        <v/>
      </c>
      <c r="J160" s="33"/>
      <c r="K160" s="33"/>
      <c r="L160" s="307" t="str">
        <f>IF(OR(J160="",K160=""),"",IF(J160="3",VLOOKUP(M160,'K% (Rede Convencional)'!$B$18:$M$29,8),(IF(J160="2",VLOOKUP(N160,'K% (Rede Convencional)'!$B$18:$M$29,9),(IF(J160="1",VLOOKUP(N160,'K% (Rede Convencional)'!$B$18:$M$29,10),(IF(J160="13",VLOOKUP(N160,'K% (Rede Convencional)'!$B$18:$M$29,11),(IF(J160="12",VLOOKUP(N160,'K% (Rede Convencional)'!$B$18:$M$29,12),0))))))))))</f>
        <v/>
      </c>
      <c r="M160" s="308" t="str">
        <f t="shared" si="46"/>
        <v/>
      </c>
      <c r="N160" s="308" t="str">
        <f>IF(K160="","",IF(K160="4 (4)","a",IF(OR(K160="2 (4)",K160="2 (2)"),VLOOKUP(K160,BT!$AE$21:$AF$22,2,FALSE),IF(OR(K160="1/0 (4)",K160="1/0 (2)"),VLOOKUP(K160,BT!$AE$24:$AF$25,2,FALSE),IF(OR(K160="4/0 (4)",K160="4/0 (2)",K160="4/0 (1/0)"),VLOOKUP(K160,BT!$AE$27:$AF$29,2,FALSE),IF(OR(K160="336,4 (4)",K160="336,4 (2)",K160="336,4 (1/0)",K160="336,4 (4/0)"),VLOOKUP(K160,BT!$AE$31:$AF$34,2,FALSE),0))))))</f>
        <v/>
      </c>
      <c r="O160" s="48"/>
      <c r="P160" s="309" t="str">
        <f t="shared" si="47"/>
        <v/>
      </c>
      <c r="Q160" s="309" t="str">
        <f>IF(P160="","",SUM($P$45:P160)+$W$115)</f>
        <v/>
      </c>
      <c r="R160" s="309" t="str">
        <f t="shared" si="48"/>
        <v/>
      </c>
      <c r="S160" s="310" t="str">
        <f>IF(OR(M160="a",N160="a"),VLOOKUP("a",'Características dos Cabos'!$D$25:$L$29,9),IF(OR(M160="b",M160="c",N160="b",N160="c"),VLOOKUP("b",'Características dos Cabos'!$D$25:$L$29,9),IF(OR(M160="d",M160="e",N160="d",N160="e"),VLOOKUP("c",'Características dos Cabos'!$D$25:$L$29,9),IF(OR(M160="f",M160="g",M160="h",N160="f",N160="g",N160="h"),VLOOKUP("d",'Características dos Cabos'!$D$25:$L$29,9),IF(OR(M160="i",M160="j",M160="l",M160="m",N160="i",N160="j",N160="l",N160="m"),VLOOKUP("e",'Características dos Cabos'!$D$25:$L$29,9),"")))))</f>
        <v/>
      </c>
      <c r="T160" s="309" t="str">
        <f t="shared" si="49"/>
        <v/>
      </c>
      <c r="U160" s="310" t="str">
        <f>IF(OR(M160="a",N160="a"),VLOOKUP("a",'Características dos Cabos'!$D$25:$L$29,3),IF(OR(M160="b",M160="c",N160="b",N160="c"),VLOOKUP("b",'Características dos Cabos'!$D$25:$L$29,3),IF(OR(M160="d",M160="e",N160="d",N160="e"),VLOOKUP("c",'Características dos Cabos'!$D$25:$L$29,3),IF(OR(M160="f",M160="g",M160="h",N160="f",N160="g",N160="h"),VLOOKUP("d",'Características dos Cabos'!$D$25:$L$29,3),IF(OR(M160="i",M160="j",M160="l",M160="m",N160="i",N160="j",N160="l",N160="m"),VLOOKUP("e",'Características dos Cabos'!$D$25:$L$29,3),"")))))</f>
        <v/>
      </c>
      <c r="V160" s="311" t="str">
        <f t="shared" si="50"/>
        <v/>
      </c>
      <c r="W160" s="284"/>
      <c r="X160" s="298">
        <f t="shared" si="51"/>
        <v>0</v>
      </c>
      <c r="Y160" s="298">
        <f t="shared" si="52"/>
        <v>0</v>
      </c>
      <c r="Z160" s="284"/>
    </row>
    <row r="161" spans="1:26" ht="15" customHeight="1" x14ac:dyDescent="0.25">
      <c r="A161" s="508"/>
      <c r="B161" s="511"/>
      <c r="C161" s="37"/>
      <c r="D161" s="33"/>
      <c r="E161" s="48"/>
      <c r="F161" s="102" t="str">
        <f t="shared" si="45"/>
        <v/>
      </c>
      <c r="G161" s="48"/>
      <c r="H161" s="306" t="str">
        <f>IF(AND(E161="",G161=""),"",SUM(F161:G164))</f>
        <v/>
      </c>
      <c r="J161" s="33"/>
      <c r="K161" s="33"/>
      <c r="L161" s="307" t="str">
        <f>IF(OR(J161="",K161=""),"",IF(J161="3",VLOOKUP(M161,'K% (Rede Convencional)'!$B$18:$M$29,8),(IF(J161="2",VLOOKUP(N161,'K% (Rede Convencional)'!$B$18:$M$29,9),(IF(J161="1",VLOOKUP(N161,'K% (Rede Convencional)'!$B$18:$M$29,10),(IF(J161="13",VLOOKUP(N161,'K% (Rede Convencional)'!$B$18:$M$29,11),(IF(J161="12",VLOOKUP(N161,'K% (Rede Convencional)'!$B$18:$M$29,12),0))))))))))</f>
        <v/>
      </c>
      <c r="M161" s="308" t="str">
        <f t="shared" si="46"/>
        <v/>
      </c>
      <c r="N161" s="308" t="str">
        <f>IF(K161="","",IF(K161="4 (4)","a",IF(OR(K161="2 (4)",K161="2 (2)"),VLOOKUP(K161,BT!$AE$21:$AF$22,2,FALSE),IF(OR(K161="1/0 (4)",K161="1/0 (2)"),VLOOKUP(K161,BT!$AE$24:$AF$25,2,FALSE),IF(OR(K161="4/0 (4)",K161="4/0 (2)",K161="4/0 (1/0)"),VLOOKUP(K161,BT!$AE$27:$AF$29,2,FALSE),IF(OR(K161="336,4 (4)",K161="336,4 (2)",K161="336,4 (1/0)",K161="336,4 (4/0)"),VLOOKUP(K161,BT!$AE$31:$AF$34,2,FALSE),0))))))</f>
        <v/>
      </c>
      <c r="O161" s="48"/>
      <c r="P161" s="309" t="str">
        <f t="shared" si="47"/>
        <v/>
      </c>
      <c r="Q161" s="309" t="str">
        <f>IF(P161="","",SUM($P$45:P161)+$W$115)</f>
        <v/>
      </c>
      <c r="R161" s="309" t="str">
        <f t="shared" si="48"/>
        <v/>
      </c>
      <c r="S161" s="310" t="str">
        <f>IF(OR(M161="a",N161="a"),VLOOKUP("a",'Características dos Cabos'!$D$25:$L$29,9),IF(OR(M161="b",M161="c",N161="b",N161="c"),VLOOKUP("b",'Características dos Cabos'!$D$25:$L$29,9),IF(OR(M161="d",M161="e",N161="d",N161="e"),VLOOKUP("c",'Características dos Cabos'!$D$25:$L$29,9),IF(OR(M161="f",M161="g",M161="h",N161="f",N161="g",N161="h"),VLOOKUP("d",'Características dos Cabos'!$D$25:$L$29,9),IF(OR(M161="i",M161="j",M161="l",M161="m",N161="i",N161="j",N161="l",N161="m"),VLOOKUP("e",'Características dos Cabos'!$D$25:$L$29,9),"")))))</f>
        <v/>
      </c>
      <c r="T161" s="309" t="str">
        <f t="shared" si="49"/>
        <v/>
      </c>
      <c r="U161" s="310" t="str">
        <f>IF(OR(M161="a",N161="a"),VLOOKUP("a",'Características dos Cabos'!$D$25:$L$29,3),IF(OR(M161="b",M161="c",N161="b",N161="c"),VLOOKUP("b",'Características dos Cabos'!$D$25:$L$29,3),IF(OR(M161="d",M161="e",N161="d",N161="e"),VLOOKUP("c",'Características dos Cabos'!$D$25:$L$29,3),IF(OR(M161="f",M161="g",M161="h",N161="f",N161="g",N161="h"),VLOOKUP("d",'Características dos Cabos'!$D$25:$L$29,3),IF(OR(M161="i",M161="j",M161="l",M161="m",N161="i",N161="j",N161="l",N161="m"),VLOOKUP("e",'Características dos Cabos'!$D$25:$L$29,3),"")))))</f>
        <v/>
      </c>
      <c r="V161" s="311" t="str">
        <f t="shared" si="50"/>
        <v/>
      </c>
      <c r="W161" s="284"/>
      <c r="X161" s="298">
        <f t="shared" si="51"/>
        <v>0</v>
      </c>
      <c r="Y161" s="298">
        <f t="shared" si="52"/>
        <v>0</v>
      </c>
      <c r="Z161" s="284"/>
    </row>
    <row r="162" spans="1:26" ht="15" customHeight="1" x14ac:dyDescent="0.25">
      <c r="A162" s="508"/>
      <c r="B162" s="511"/>
      <c r="C162" s="37"/>
      <c r="D162" s="33"/>
      <c r="E162" s="48"/>
      <c r="F162" s="102" t="str">
        <f t="shared" si="45"/>
        <v/>
      </c>
      <c r="G162" s="48"/>
      <c r="H162" s="306" t="str">
        <f>IF(AND(E162="",G162=""),"",SUM(F162:G164))</f>
        <v/>
      </c>
      <c r="J162" s="33"/>
      <c r="K162" s="33"/>
      <c r="L162" s="307" t="str">
        <f>IF(OR(J162="",K162=""),"",IF(J162="3",VLOOKUP(M162,'K% (Rede Convencional)'!$B$18:$M$29,8),(IF(J162="2",VLOOKUP(N162,'K% (Rede Convencional)'!$B$18:$M$29,9),(IF(J162="1",VLOOKUP(N162,'K% (Rede Convencional)'!$B$18:$M$29,10),(IF(J162="13",VLOOKUP(N162,'K% (Rede Convencional)'!$B$18:$M$29,11),(IF(J162="12",VLOOKUP(N162,'K% (Rede Convencional)'!$B$18:$M$29,12),0))))))))))</f>
        <v/>
      </c>
      <c r="M162" s="308" t="str">
        <f t="shared" si="46"/>
        <v/>
      </c>
      <c r="N162" s="308" t="str">
        <f>IF(K162="","",IF(K162="4 (4)","a",IF(OR(K162="2 (4)",K162="2 (2)"),VLOOKUP(K162,BT!$AE$21:$AF$22,2,FALSE),IF(OR(K162="1/0 (4)",K162="1/0 (2)"),VLOOKUP(K162,BT!$AE$24:$AF$25,2,FALSE),IF(OR(K162="4/0 (4)",K162="4/0 (2)",K162="4/0 (1/0)"),VLOOKUP(K162,BT!$AE$27:$AF$29,2,FALSE),IF(OR(K162="336,4 (4)",K162="336,4 (2)",K162="336,4 (1/0)",K162="336,4 (4/0)"),VLOOKUP(K162,BT!$AE$31:$AF$34,2,FALSE),0))))))</f>
        <v/>
      </c>
      <c r="O162" s="48"/>
      <c r="P162" s="309" t="str">
        <f t="shared" si="47"/>
        <v/>
      </c>
      <c r="Q162" s="309" t="str">
        <f>IF(P162="","",SUM($P$45:P162)+$W$115)</f>
        <v/>
      </c>
      <c r="R162" s="309" t="str">
        <f t="shared" si="48"/>
        <v/>
      </c>
      <c r="S162" s="310" t="str">
        <f>IF(OR(M162="a",N162="a"),VLOOKUP("a",'Características dos Cabos'!$D$25:$L$29,9),IF(OR(M162="b",M162="c",N162="b",N162="c"),VLOOKUP("b",'Características dos Cabos'!$D$25:$L$29,9),IF(OR(M162="d",M162="e",N162="d",N162="e"),VLOOKUP("c",'Características dos Cabos'!$D$25:$L$29,9),IF(OR(M162="f",M162="g",M162="h",N162="f",N162="g",N162="h"),VLOOKUP("d",'Características dos Cabos'!$D$25:$L$29,9),IF(OR(M162="i",M162="j",M162="l",M162="m",N162="i",N162="j",N162="l",N162="m"),VLOOKUP("e",'Características dos Cabos'!$D$25:$L$29,9),"")))))</f>
        <v/>
      </c>
      <c r="T162" s="309" t="str">
        <f t="shared" si="49"/>
        <v/>
      </c>
      <c r="U162" s="310" t="str">
        <f>IF(OR(M162="a",N162="a"),VLOOKUP("a",'Características dos Cabos'!$D$25:$L$29,3),IF(OR(M162="b",M162="c",N162="b",N162="c"),VLOOKUP("b",'Características dos Cabos'!$D$25:$L$29,3),IF(OR(M162="d",M162="e",N162="d",N162="e"),VLOOKUP("c",'Características dos Cabos'!$D$25:$L$29,3),IF(OR(M162="f",M162="g",M162="h",N162="f",N162="g",N162="h"),VLOOKUP("d",'Características dos Cabos'!$D$25:$L$29,3),IF(OR(M162="i",M162="j",M162="l",M162="m",N162="i",N162="j",N162="l",N162="m"),VLOOKUP("e",'Características dos Cabos'!$D$25:$L$29,3),"")))))</f>
        <v/>
      </c>
      <c r="V162" s="311" t="str">
        <f t="shared" si="50"/>
        <v/>
      </c>
      <c r="W162" s="284"/>
      <c r="X162" s="298">
        <f t="shared" si="51"/>
        <v>0</v>
      </c>
      <c r="Y162" s="298">
        <f t="shared" si="52"/>
        <v>0</v>
      </c>
      <c r="Z162" s="284"/>
    </row>
    <row r="163" spans="1:26" ht="15" customHeight="1" x14ac:dyDescent="0.25">
      <c r="A163" s="508"/>
      <c r="B163" s="511"/>
      <c r="C163" s="37"/>
      <c r="D163" s="33"/>
      <c r="E163" s="48"/>
      <c r="F163" s="102" t="str">
        <f t="shared" si="45"/>
        <v/>
      </c>
      <c r="G163" s="48"/>
      <c r="H163" s="306" t="str">
        <f>IF(AND(E163="",G163=""),"",SUM(F163:G164))</f>
        <v/>
      </c>
      <c r="J163" s="33"/>
      <c r="K163" s="33"/>
      <c r="L163" s="307" t="str">
        <f>IF(OR(J163="",K163=""),"",IF(J163="3",VLOOKUP(M163,'K% (Rede Convencional)'!$B$18:$M$29,8),(IF(J163="2",VLOOKUP(N163,'K% (Rede Convencional)'!$B$18:$M$29,9),(IF(J163="1",VLOOKUP(N163,'K% (Rede Convencional)'!$B$18:$M$29,10),(IF(J163="13",VLOOKUP(N163,'K% (Rede Convencional)'!$B$18:$M$29,11),(IF(J163="12",VLOOKUP(N163,'K% (Rede Convencional)'!$B$18:$M$29,12),0))))))))))</f>
        <v/>
      </c>
      <c r="M163" s="308" t="str">
        <f t="shared" si="46"/>
        <v/>
      </c>
      <c r="N163" s="308" t="str">
        <f>IF(K163="","",IF(K163="4 (4)","a",IF(OR(K163="2 (4)",K163="2 (2)"),VLOOKUP(K163,BT!$AE$21:$AF$22,2,FALSE),IF(OR(K163="1/0 (4)",K163="1/0 (2)"),VLOOKUP(K163,BT!$AE$24:$AF$25,2,FALSE),IF(OR(K163="4/0 (4)",K163="4/0 (2)",K163="4/0 (1/0)"),VLOOKUP(K163,BT!$AE$27:$AF$29,2,FALSE),IF(OR(K163="336,4 (4)",K163="336,4 (2)",K163="336,4 (1/0)",K163="336,4 (4/0)"),VLOOKUP(K163,BT!$AE$31:$AF$34,2,FALSE),0))))))</f>
        <v/>
      </c>
      <c r="O163" s="48"/>
      <c r="P163" s="309" t="str">
        <f t="shared" si="47"/>
        <v/>
      </c>
      <c r="Q163" s="309" t="str">
        <f>IF(P163="","",SUM($P$45:P163)+$W$115)</f>
        <v/>
      </c>
      <c r="R163" s="309" t="str">
        <f t="shared" si="48"/>
        <v/>
      </c>
      <c r="S163" s="310" t="str">
        <f>IF(OR(M163="a",N163="a"),VLOOKUP("a",'Características dos Cabos'!$D$25:$L$29,9),IF(OR(M163="b",M163="c",N163="b",N163="c"),VLOOKUP("b",'Características dos Cabos'!$D$25:$L$29,9),IF(OR(M163="d",M163="e",N163="d",N163="e"),VLOOKUP("c",'Características dos Cabos'!$D$25:$L$29,9),IF(OR(M163="f",M163="g",M163="h",N163="f",N163="g",N163="h"),VLOOKUP("d",'Características dos Cabos'!$D$25:$L$29,9),IF(OR(M163="i",M163="j",M163="l",M163="m",N163="i",N163="j",N163="l",N163="m"),VLOOKUP("e",'Características dos Cabos'!$D$25:$L$29,9),"")))))</f>
        <v/>
      </c>
      <c r="T163" s="309" t="str">
        <f t="shared" si="49"/>
        <v/>
      </c>
      <c r="U163" s="310" t="str">
        <f>IF(OR(M163="a",N163="a"),VLOOKUP("a",'Características dos Cabos'!$D$25:$L$29,3),IF(OR(M163="b",M163="c",N163="b",N163="c"),VLOOKUP("b",'Características dos Cabos'!$D$25:$L$29,3),IF(OR(M163="d",M163="e",N163="d",N163="e"),VLOOKUP("c",'Características dos Cabos'!$D$25:$L$29,3),IF(OR(M163="f",M163="g",M163="h",N163="f",N163="g",N163="h"),VLOOKUP("d",'Características dos Cabos'!$D$25:$L$29,3),IF(OR(M163="i",M163="j",M163="l",M163="m",N163="i",N163="j",N163="l",N163="m"),VLOOKUP("e",'Características dos Cabos'!$D$25:$L$29,3),"")))))</f>
        <v/>
      </c>
      <c r="V163" s="311" t="str">
        <f t="shared" si="50"/>
        <v/>
      </c>
      <c r="W163" s="284"/>
      <c r="X163" s="298">
        <f t="shared" si="51"/>
        <v>0</v>
      </c>
      <c r="Y163" s="298">
        <f t="shared" si="52"/>
        <v>0</v>
      </c>
      <c r="Z163" s="284"/>
    </row>
    <row r="164" spans="1:26" ht="15" customHeight="1" thickBot="1" x14ac:dyDescent="0.3">
      <c r="A164" s="508"/>
      <c r="B164" s="512"/>
      <c r="C164" s="38"/>
      <c r="D164" s="34"/>
      <c r="E164" s="49"/>
      <c r="F164" s="64" t="str">
        <f t="shared" si="45"/>
        <v/>
      </c>
      <c r="G164" s="49"/>
      <c r="H164" s="328" t="str">
        <f>IF(AND(E164="",G164=""),"",SUM(F164:G164))</f>
        <v/>
      </c>
      <c r="J164" s="34"/>
      <c r="K164" s="34"/>
      <c r="L164" s="329" t="str">
        <f>IF(OR(J164="",K164=""),"",IF(J164="3",VLOOKUP(M164,'K% (Rede Convencional)'!$B$18:$M$29,8),(IF(J164="2",VLOOKUP(N164,'K% (Rede Convencional)'!$B$18:$M$29,9),(IF(J164="1",VLOOKUP(N164,'K% (Rede Convencional)'!$B$18:$M$29,10),(IF(J164="13",VLOOKUP(N164,'K% (Rede Convencional)'!$B$18:$M$29,11),(IF(J164="12",VLOOKUP(N164,'K% (Rede Convencional)'!$B$18:$M$29,12),0))))))))))</f>
        <v/>
      </c>
      <c r="M164" s="330" t="str">
        <f t="shared" si="46"/>
        <v/>
      </c>
      <c r="N164" s="330" t="str">
        <f>IF(K164="","",IF(K164="4 (4)","a",IF(OR(K164="2 (4)",K164="2 (2)"),VLOOKUP(K164,BT!$AE$21:$AF$22,2,FALSE),IF(OR(K164="1/0 (4)",K164="1/0 (2)"),VLOOKUP(K164,BT!$AE$24:$AF$25,2,FALSE),IF(OR(K164="4/0 (4)",K164="4/0 (2)",K164="4/0 (1/0)"),VLOOKUP(K164,BT!$AE$27:$AF$29,2,FALSE),IF(OR(K164="336,4 (4)",K164="336,4 (2)",K164="336,4 (1/0)",K164="336,4 (4/0)"),VLOOKUP(K164,BT!$AE$31:$AF$34,2,FALSE),0))))))</f>
        <v/>
      </c>
      <c r="O164" s="49"/>
      <c r="P164" s="331" t="str">
        <f t="shared" si="47"/>
        <v/>
      </c>
      <c r="Q164" s="331" t="str">
        <f>IF(P164="","",SUM($P$45:P164)+$W$115)</f>
        <v/>
      </c>
      <c r="R164" s="331" t="str">
        <f t="shared" si="48"/>
        <v/>
      </c>
      <c r="S164" s="332" t="str">
        <f>IF(N164="a",VLOOKUP("a",#REF!,9),IF(OR(N164="b",N164="c"),VLOOKUP("b",#REF!,9),IF(OR(N164="d",N164="e"),VLOOKUP("c",#REF!,9),IF(OR(N164="f",N164="g",N164="h"),VLOOKUP("d",#REF!,9),IF(OR(N164="i",N164="j",N164="l",N164="m"),VLOOKUP("e",#REF!,9),"")))))</f>
        <v/>
      </c>
      <c r="T164" s="331" t="str">
        <f t="shared" si="49"/>
        <v/>
      </c>
      <c r="U164" s="332" t="str">
        <f>IF(OR(M164="a",N164="a"),VLOOKUP("a",'Características dos Cabos'!$D$25:$L$29,3),IF(OR(M164="b",M164="c",N164="b",N164="c"),VLOOKUP("b",'Características dos Cabos'!$D$25:$L$29,3),IF(OR(M164="d",M164="e",N164="d",N164="e"),VLOOKUP("c",'Características dos Cabos'!$D$25:$L$29,3),IF(OR(M164="f",M164="g",M164="h",N164="f",N164="g",N164="h"),VLOOKUP("d",'Características dos Cabos'!$D$25:$L$29,3),IF(OR(M164="i",M164="j",M164="l",M164="m",N164="i",N164="j",N164="l",N164="m"),VLOOKUP("e",'Características dos Cabos'!$D$25:$L$29,3),"")))))</f>
        <v/>
      </c>
      <c r="V164" s="333" t="str">
        <f t="shared" si="50"/>
        <v/>
      </c>
      <c r="W164" s="284"/>
      <c r="X164" s="298">
        <f t="shared" si="51"/>
        <v>0</v>
      </c>
      <c r="Y164" s="298">
        <f t="shared" si="52"/>
        <v>0</v>
      </c>
      <c r="Z164" s="284"/>
    </row>
    <row r="165" spans="1:26" ht="15" customHeight="1" thickTop="1" x14ac:dyDescent="0.25">
      <c r="A165" s="508"/>
      <c r="B165" s="510" t="str">
        <f>CONCATENATE("Ramal 13 - Derivando no ponto ",C165)</f>
        <v xml:space="preserve">Ramal 13 - Derivando no ponto </v>
      </c>
      <c r="C165" s="36"/>
      <c r="D165" s="35"/>
      <c r="E165" s="47"/>
      <c r="F165" s="102" t="str">
        <f t="shared" si="45"/>
        <v/>
      </c>
      <c r="G165" s="47"/>
      <c r="H165" s="320" t="str">
        <f>IF(AND(E165="",G165=""),"",SUM(F165:G174))</f>
        <v/>
      </c>
      <c r="J165" s="35"/>
      <c r="K165" s="35"/>
      <c r="L165" s="321" t="str">
        <f>IF(OR(J165="",K165=""),"",IF(J165="3",VLOOKUP(M165,'K% (Rede Convencional)'!$B$18:$M$29,8),(IF(J165="2",VLOOKUP(N165,'K% (Rede Convencional)'!$B$18:$M$29,9),(IF(J165="1",VLOOKUP(N165,'K% (Rede Convencional)'!$B$18:$M$29,10),(IF(J165="13",VLOOKUP(N165,'K% (Rede Convencional)'!$B$18:$M$29,11),(IF(J165="12",VLOOKUP(N165,'K% (Rede Convencional)'!$B$18:$M$29,12),0))))))))))</f>
        <v/>
      </c>
      <c r="M165" s="294" t="str">
        <f t="shared" ref="M165:M174" si="53">IF(K165="4","a",IF(K165="2","b",IF(K165="1/0","d",IF(K165="4/0","f",IF(K165="336,4","i","")))))</f>
        <v/>
      </c>
      <c r="N165" s="294" t="str">
        <f>IF(K165="","",IF(K165="4 (4)","a",IF(OR(K165="2 (4)",K165="2 (2)"),VLOOKUP(K165,BT!$AE$21:$AF$22,2,FALSE),IF(OR(K165="1/0 (4)",K165="1/0 (2)"),VLOOKUP(K165,BT!$AE$24:$AF$25,2,FALSE),IF(OR(K165="4/0 (4)",K165="4/0 (2)",K165="4/0 (1/0)"),VLOOKUP(K165,BT!$AE$27:$AF$29,2,FALSE),IF(OR(K165="336,4 (4)",K165="336,4 (2)",K165="336,4 (1/0)",K165="336,4 (4/0)"),VLOOKUP(K165,BT!$AE$31:$AF$34,2,FALSE),0))))))</f>
        <v/>
      </c>
      <c r="O165" s="47"/>
      <c r="P165" s="322" t="str">
        <f t="shared" ref="P165:P174" si="54">IF(OR(H165="",L165="",O165=""),"",L165*H165*O165)</f>
        <v/>
      </c>
      <c r="Q165" s="322" t="str">
        <f>IF(P165="","",P165+VLOOKUP(C165,$D$21:$Q$43,13,FALSE))</f>
        <v/>
      </c>
      <c r="R165" s="322" t="str">
        <f t="shared" ref="R165:R174" si="55">IF(H165="","",IF(J165="3",H165*1000/($D$14*SQRT(3)),IF(J165="2",H165*1000*SQRT(3)/($D$14*2),IF(J165="1",H165*1000*SQRT(3)/$D$14,IF(J165="13",H165*1000/$D$16,IF(J165="12",H165*1000*2/$D$16,"erro"))))))</f>
        <v/>
      </c>
      <c r="S165" s="323" t="str">
        <f>IF(OR(M165="a",N165="a"),VLOOKUP("a",'Características dos Cabos'!$D$25:$L$29,9),IF(OR(M165="b",M165="c",N165="b",N165="c"),VLOOKUP("b",'Características dos Cabos'!$D$25:$L$29,9),IF(OR(M165="d",M165="e",N165="d",N165="e"),VLOOKUP("c",'Características dos Cabos'!$D$25:$L$29,9),IF(OR(M165="f",M165="g",M165="h",N165="f",N165="g",N165="h"),VLOOKUP("d",'Características dos Cabos'!$D$25:$L$29,9),IF(OR(M165="i",M165="j",M165="l",M165="m",N165="i",N165="j",N165="l",N165="m"),VLOOKUP("e",'Características dos Cabos'!$D$25:$L$29,9),"")))))</f>
        <v/>
      </c>
      <c r="T165" s="322" t="str">
        <f t="shared" ref="T165:T174" si="56">IF(S165="","",R165*100/S165)</f>
        <v/>
      </c>
      <c r="U165" s="323" t="str">
        <f>IF(OR(M165="a",N165="a"),VLOOKUP("a",'Características dos Cabos'!$D$25:$L$29,3),IF(OR(M165="b",M165="c",N165="b",N165="c"),VLOOKUP("b",'Características dos Cabos'!$D$25:$L$29,3),IF(OR(M165="d",M165="e",N165="d",N165="e"),VLOOKUP("c",'Características dos Cabos'!$D$25:$L$29,3),IF(OR(M165="f",M165="g",M165="h",N165="f",N165="g",N165="h"),VLOOKUP("d",'Características dos Cabos'!$D$25:$L$29,3),IF(OR(M165="i",M165="j",M165="l",M165="m",N165="i",N165="j",N165="l",N165="m"),VLOOKUP("e",'Características dos Cabos'!$D$25:$L$29,3),"")))))</f>
        <v/>
      </c>
      <c r="V165" s="324" t="str">
        <f t="shared" ref="V165:V174" si="57">IF(OR(O165="",$G$16="",H165="",N165=""),"",IF(J165="3",3*$L$12*U165*O165/1000*R165^2*8.76,IF(OR(J165="2",J165="13"),2*$L$12*U165*O165/1000*R165^2*8.76,IF(OR(J165="1",J165="12"),$L$12*U165*O165/1000*R165^2*8.76))))</f>
        <v/>
      </c>
      <c r="W165" s="343" t="e">
        <f>VLOOKUP(C165,$D$21:$Q$43,12,FALSE)</f>
        <v>#N/A</v>
      </c>
      <c r="X165" s="298">
        <f t="shared" ref="X165:X174" si="58">D165</f>
        <v>0</v>
      </c>
      <c r="Y165" s="298">
        <f t="shared" ref="Y165:Y174" si="59">K165</f>
        <v>0</v>
      </c>
      <c r="Z165" s="284"/>
    </row>
    <row r="166" spans="1:26" ht="15" customHeight="1" x14ac:dyDescent="0.25">
      <c r="A166" s="508"/>
      <c r="B166" s="511"/>
      <c r="C166" s="37"/>
      <c r="D166" s="33"/>
      <c r="E166" s="48"/>
      <c r="F166" s="102" t="str">
        <f t="shared" si="45"/>
        <v/>
      </c>
      <c r="G166" s="48"/>
      <c r="H166" s="306" t="str">
        <f>IF(AND(E166="",G166=""),"",SUM(F166:G174))</f>
        <v/>
      </c>
      <c r="J166" s="33"/>
      <c r="K166" s="33"/>
      <c r="L166" s="307" t="str">
        <f>IF(OR(J166="",K166=""),"",IF(J166="3",VLOOKUP(M166,'K% (Rede Convencional)'!$B$18:$M$29,8),(IF(J166="2",VLOOKUP(N166,'K% (Rede Convencional)'!$B$18:$M$29,9),(IF(J166="1",VLOOKUP(N166,'K% (Rede Convencional)'!$B$18:$M$29,10),(IF(J166="13",VLOOKUP(N166,'K% (Rede Convencional)'!$B$18:$M$29,11),(IF(J166="12",VLOOKUP(N166,'K% (Rede Convencional)'!$B$18:$M$29,12),0))))))))))</f>
        <v/>
      </c>
      <c r="M166" s="308" t="str">
        <f t="shared" si="53"/>
        <v/>
      </c>
      <c r="N166" s="308" t="str">
        <f>IF(K166="","",IF(K166="4 (4)","a",IF(OR(K166="2 (4)",K166="2 (2)"),VLOOKUP(K166,BT!$AE$21:$AF$22,2,FALSE),IF(OR(K166="1/0 (4)",K166="1/0 (2)"),VLOOKUP(K166,BT!$AE$24:$AF$25,2,FALSE),IF(OR(K166="4/0 (4)",K166="4/0 (2)",K166="4/0 (1/0)"),VLOOKUP(K166,BT!$AE$27:$AF$29,2,FALSE),IF(OR(K166="336,4 (4)",K166="336,4 (2)",K166="336,4 (1/0)",K166="336,4 (4/0)"),VLOOKUP(K166,BT!$AE$31:$AF$34,2,FALSE),0))))))</f>
        <v/>
      </c>
      <c r="O166" s="48"/>
      <c r="P166" s="309" t="str">
        <f t="shared" si="54"/>
        <v/>
      </c>
      <c r="Q166" s="309" t="str">
        <f>IF(P166="","",SUM($P$45:P166)+$W$115)</f>
        <v/>
      </c>
      <c r="R166" s="309" t="str">
        <f t="shared" si="55"/>
        <v/>
      </c>
      <c r="S166" s="310" t="str">
        <f>IF(OR(M166="a",N166="a"),VLOOKUP("a",'Características dos Cabos'!$D$25:$L$29,9),IF(OR(M166="b",M166="c",N166="b",N166="c"),VLOOKUP("b",'Características dos Cabos'!$D$25:$L$29,9),IF(OR(M166="d",M166="e",N166="d",N166="e"),VLOOKUP("c",'Características dos Cabos'!$D$25:$L$29,9),IF(OR(M166="f",M166="g",M166="h",N166="f",N166="g",N166="h"),VLOOKUP("d",'Características dos Cabos'!$D$25:$L$29,9),IF(OR(M166="i",M166="j",M166="l",M166="m",N166="i",N166="j",N166="l",N166="m"),VLOOKUP("e",'Características dos Cabos'!$D$25:$L$29,9),"")))))</f>
        <v/>
      </c>
      <c r="T166" s="309" t="str">
        <f t="shared" si="56"/>
        <v/>
      </c>
      <c r="U166" s="310" t="str">
        <f>IF(OR(M166="a",N166="a"),VLOOKUP("a",'Características dos Cabos'!$D$25:$L$29,3),IF(OR(M166="b",M166="c",N166="b",N166="c"),VLOOKUP("b",'Características dos Cabos'!$D$25:$L$29,3),IF(OR(M166="d",M166="e",N166="d",N166="e"),VLOOKUP("c",'Características dos Cabos'!$D$25:$L$29,3),IF(OR(M166="f",M166="g",M166="h",N166="f",N166="g",N166="h"),VLOOKUP("d",'Características dos Cabos'!$D$25:$L$29,3),IF(OR(M166="i",M166="j",M166="l",M166="m",N166="i",N166="j",N166="l",N166="m"),VLOOKUP("e",'Características dos Cabos'!$D$25:$L$29,3),"")))))</f>
        <v/>
      </c>
      <c r="V166" s="311" t="str">
        <f t="shared" si="57"/>
        <v/>
      </c>
      <c r="W166" s="284"/>
      <c r="X166" s="298">
        <f t="shared" si="58"/>
        <v>0</v>
      </c>
      <c r="Y166" s="298">
        <f t="shared" si="59"/>
        <v>0</v>
      </c>
      <c r="Z166" s="284"/>
    </row>
    <row r="167" spans="1:26" ht="15" customHeight="1" x14ac:dyDescent="0.25">
      <c r="A167" s="508"/>
      <c r="B167" s="511"/>
      <c r="C167" s="37"/>
      <c r="D167" s="33"/>
      <c r="E167" s="48"/>
      <c r="F167" s="102" t="str">
        <f t="shared" si="45"/>
        <v/>
      </c>
      <c r="G167" s="48"/>
      <c r="H167" s="306" t="str">
        <f>IF(AND(E167="",G167=""),"",SUM(F167:G174))</f>
        <v/>
      </c>
      <c r="J167" s="33"/>
      <c r="K167" s="33"/>
      <c r="L167" s="307" t="str">
        <f>IF(OR(J167="",K167=""),"",IF(J167="3",VLOOKUP(M167,'K% (Rede Convencional)'!$B$18:$M$29,8),(IF(J167="2",VLOOKUP(N167,'K% (Rede Convencional)'!$B$18:$M$29,9),(IF(J167="1",VLOOKUP(N167,'K% (Rede Convencional)'!$B$18:$M$29,10),(IF(J167="13",VLOOKUP(N167,'K% (Rede Convencional)'!$B$18:$M$29,11),(IF(J167="12",VLOOKUP(N167,'K% (Rede Convencional)'!$B$18:$M$29,12),0))))))))))</f>
        <v/>
      </c>
      <c r="M167" s="308" t="str">
        <f t="shared" si="53"/>
        <v/>
      </c>
      <c r="N167" s="308" t="str">
        <f>IF(K167="","",IF(K167="4 (4)","a",IF(OR(K167="2 (4)",K167="2 (2)"),VLOOKUP(K167,BT!$AE$21:$AF$22,2,FALSE),IF(OR(K167="1/0 (4)",K167="1/0 (2)"),VLOOKUP(K167,BT!$AE$24:$AF$25,2,FALSE),IF(OR(K167="4/0 (4)",K167="4/0 (2)",K167="4/0 (1/0)"),VLOOKUP(K167,BT!$AE$27:$AF$29,2,FALSE),IF(OR(K167="336,4 (4)",K167="336,4 (2)",K167="336,4 (1/0)",K167="336,4 (4/0)"),VLOOKUP(K167,BT!$AE$31:$AF$34,2,FALSE),0))))))</f>
        <v/>
      </c>
      <c r="O167" s="48"/>
      <c r="P167" s="309" t="str">
        <f t="shared" si="54"/>
        <v/>
      </c>
      <c r="Q167" s="309" t="str">
        <f>IF(P167="","",SUM($P$45:P167)+$W$115)</f>
        <v/>
      </c>
      <c r="R167" s="309" t="str">
        <f t="shared" si="55"/>
        <v/>
      </c>
      <c r="S167" s="310" t="str">
        <f>IF(OR(M167="a",N167="a"),VLOOKUP("a",'Características dos Cabos'!$D$25:$L$29,9),IF(OR(M167="b",M167="c",N167="b",N167="c"),VLOOKUP("b",'Características dos Cabos'!$D$25:$L$29,9),IF(OR(M167="d",M167="e",N167="d",N167="e"),VLOOKUP("c",'Características dos Cabos'!$D$25:$L$29,9),IF(OR(M167="f",M167="g",M167="h",N167="f",N167="g",N167="h"),VLOOKUP("d",'Características dos Cabos'!$D$25:$L$29,9),IF(OR(M167="i",M167="j",M167="l",M167="m",N167="i",N167="j",N167="l",N167="m"),VLOOKUP("e",'Características dos Cabos'!$D$25:$L$29,9),"")))))</f>
        <v/>
      </c>
      <c r="T167" s="309" t="str">
        <f t="shared" si="56"/>
        <v/>
      </c>
      <c r="U167" s="310" t="str">
        <f>IF(OR(M167="a",N167="a"),VLOOKUP("a",'Características dos Cabos'!$D$25:$L$29,3),IF(OR(M167="b",M167="c",N167="b",N167="c"),VLOOKUP("b",'Características dos Cabos'!$D$25:$L$29,3),IF(OR(M167="d",M167="e",N167="d",N167="e"),VLOOKUP("c",'Características dos Cabos'!$D$25:$L$29,3),IF(OR(M167="f",M167="g",M167="h",N167="f",N167="g",N167="h"),VLOOKUP("d",'Características dos Cabos'!$D$25:$L$29,3),IF(OR(M167="i",M167="j",M167="l",M167="m",N167="i",N167="j",N167="l",N167="m"),VLOOKUP("e",'Características dos Cabos'!$D$25:$L$29,3),"")))))</f>
        <v/>
      </c>
      <c r="V167" s="311" t="str">
        <f t="shared" si="57"/>
        <v/>
      </c>
      <c r="W167" s="284"/>
      <c r="X167" s="298">
        <f t="shared" si="58"/>
        <v>0</v>
      </c>
      <c r="Y167" s="298">
        <f t="shared" si="59"/>
        <v>0</v>
      </c>
      <c r="Z167" s="284"/>
    </row>
    <row r="168" spans="1:26" ht="15" customHeight="1" x14ac:dyDescent="0.25">
      <c r="A168" s="508"/>
      <c r="B168" s="511"/>
      <c r="C168" s="37"/>
      <c r="D168" s="33"/>
      <c r="E168" s="48"/>
      <c r="F168" s="102" t="str">
        <f t="shared" si="45"/>
        <v/>
      </c>
      <c r="G168" s="48"/>
      <c r="H168" s="306" t="str">
        <f>IF(AND(E168="",G168=""),"",SUM(F168:G174))</f>
        <v/>
      </c>
      <c r="J168" s="33"/>
      <c r="K168" s="33"/>
      <c r="L168" s="307" t="str">
        <f>IF(OR(J168="",K168=""),"",IF(J168="3",VLOOKUP(M168,'K% (Rede Convencional)'!$B$18:$M$29,8),(IF(J168="2",VLOOKUP(N168,'K% (Rede Convencional)'!$B$18:$M$29,9),(IF(J168="1",VLOOKUP(N168,'K% (Rede Convencional)'!$B$18:$M$29,10),(IF(J168="13",VLOOKUP(N168,'K% (Rede Convencional)'!$B$18:$M$29,11),(IF(J168="12",VLOOKUP(N168,'K% (Rede Convencional)'!$B$18:$M$29,12),0))))))))))</f>
        <v/>
      </c>
      <c r="M168" s="308" t="str">
        <f t="shared" si="53"/>
        <v/>
      </c>
      <c r="N168" s="308" t="str">
        <f>IF(K168="","",IF(K168="4 (4)","a",IF(OR(K168="2 (4)",K168="2 (2)"),VLOOKUP(K168,BT!$AE$21:$AF$22,2,FALSE),IF(OR(K168="1/0 (4)",K168="1/0 (2)"),VLOOKUP(K168,BT!$AE$24:$AF$25,2,FALSE),IF(OR(K168="4/0 (4)",K168="4/0 (2)",K168="4/0 (1/0)"),VLOOKUP(K168,BT!$AE$27:$AF$29,2,FALSE),IF(OR(K168="336,4 (4)",K168="336,4 (2)",K168="336,4 (1/0)",K168="336,4 (4/0)"),VLOOKUP(K168,BT!$AE$31:$AF$34,2,FALSE),0))))))</f>
        <v/>
      </c>
      <c r="O168" s="48"/>
      <c r="P168" s="309" t="str">
        <f t="shared" si="54"/>
        <v/>
      </c>
      <c r="Q168" s="309" t="str">
        <f>IF(P168="","",SUM($P$45:P168)+$W$115)</f>
        <v/>
      </c>
      <c r="R168" s="309" t="str">
        <f t="shared" si="55"/>
        <v/>
      </c>
      <c r="S168" s="310" t="str">
        <f>IF(OR(M168="a",N168="a"),VLOOKUP("a",'Características dos Cabos'!$D$25:$L$29,9),IF(OR(M168="b",M168="c",N168="b",N168="c"),VLOOKUP("b",'Características dos Cabos'!$D$25:$L$29,9),IF(OR(M168="d",M168="e",N168="d",N168="e"),VLOOKUP("c",'Características dos Cabos'!$D$25:$L$29,9),IF(OR(M168="f",M168="g",M168="h",N168="f",N168="g",N168="h"),VLOOKUP("d",'Características dos Cabos'!$D$25:$L$29,9),IF(OR(M168="i",M168="j",M168="l",M168="m",N168="i",N168="j",N168="l",N168="m"),VLOOKUP("e",'Características dos Cabos'!$D$25:$L$29,9),"")))))</f>
        <v/>
      </c>
      <c r="T168" s="309" t="str">
        <f t="shared" si="56"/>
        <v/>
      </c>
      <c r="U168" s="310" t="str">
        <f>IF(OR(M168="a",N168="a"),VLOOKUP("a",'Características dos Cabos'!$D$25:$L$29,3),IF(OR(M168="b",M168="c",N168="b",N168="c"),VLOOKUP("b",'Características dos Cabos'!$D$25:$L$29,3),IF(OR(M168="d",M168="e",N168="d",N168="e"),VLOOKUP("c",'Características dos Cabos'!$D$25:$L$29,3),IF(OR(M168="f",M168="g",M168="h",N168="f",N168="g",N168="h"),VLOOKUP("d",'Características dos Cabos'!$D$25:$L$29,3),IF(OR(M168="i",M168="j",M168="l",M168="m",N168="i",N168="j",N168="l",N168="m"),VLOOKUP("e",'Características dos Cabos'!$D$25:$L$29,3),"")))))</f>
        <v/>
      </c>
      <c r="V168" s="311" t="str">
        <f t="shared" si="57"/>
        <v/>
      </c>
      <c r="W168" s="284"/>
      <c r="X168" s="298">
        <f t="shared" si="58"/>
        <v>0</v>
      </c>
      <c r="Y168" s="298">
        <f t="shared" si="59"/>
        <v>0</v>
      </c>
      <c r="Z168" s="284"/>
    </row>
    <row r="169" spans="1:26" ht="15" customHeight="1" x14ac:dyDescent="0.25">
      <c r="A169" s="508"/>
      <c r="B169" s="511"/>
      <c r="C169" s="37"/>
      <c r="D169" s="33"/>
      <c r="E169" s="48"/>
      <c r="F169" s="102" t="str">
        <f t="shared" si="45"/>
        <v/>
      </c>
      <c r="G169" s="48"/>
      <c r="H169" s="306" t="str">
        <f>IF(AND(E169="",G169=""),"",SUM(F169:G174))</f>
        <v/>
      </c>
      <c r="J169" s="33"/>
      <c r="K169" s="33"/>
      <c r="L169" s="307" t="str">
        <f>IF(OR(J169="",K169=""),"",IF(J169="3",VLOOKUP(M169,'K% (Rede Convencional)'!$B$18:$M$29,8),(IF(J169="2",VLOOKUP(N169,'K% (Rede Convencional)'!$B$18:$M$29,9),(IF(J169="1",VLOOKUP(N169,'K% (Rede Convencional)'!$B$18:$M$29,10),(IF(J169="13",VLOOKUP(N169,'K% (Rede Convencional)'!$B$18:$M$29,11),(IF(J169="12",VLOOKUP(N169,'K% (Rede Convencional)'!$B$18:$M$29,12),0))))))))))</f>
        <v/>
      </c>
      <c r="M169" s="308" t="str">
        <f t="shared" si="53"/>
        <v/>
      </c>
      <c r="N169" s="308" t="str">
        <f>IF(K169="","",IF(K169="4 (4)","a",IF(OR(K169="2 (4)",K169="2 (2)"),VLOOKUP(K169,BT!$AE$21:$AF$22,2,FALSE),IF(OR(K169="1/0 (4)",K169="1/0 (2)"),VLOOKUP(K169,BT!$AE$24:$AF$25,2,FALSE),IF(OR(K169="4/0 (4)",K169="4/0 (2)",K169="4/0 (1/0)"),VLOOKUP(K169,BT!$AE$27:$AF$29,2,FALSE),IF(OR(K169="336,4 (4)",K169="336,4 (2)",K169="336,4 (1/0)",K169="336,4 (4/0)"),VLOOKUP(K169,BT!$AE$31:$AF$34,2,FALSE),0))))))</f>
        <v/>
      </c>
      <c r="O169" s="48"/>
      <c r="P169" s="309" t="str">
        <f t="shared" si="54"/>
        <v/>
      </c>
      <c r="Q169" s="309" t="str">
        <f>IF(P169="","",SUM($P$45:P169)+$W$115)</f>
        <v/>
      </c>
      <c r="R169" s="309" t="str">
        <f t="shared" si="55"/>
        <v/>
      </c>
      <c r="S169" s="310" t="str">
        <f>IF(OR(M169="a",N169="a"),VLOOKUP("a",'Características dos Cabos'!$D$25:$L$29,9),IF(OR(M169="b",M169="c",N169="b",N169="c"),VLOOKUP("b",'Características dos Cabos'!$D$25:$L$29,9),IF(OR(M169="d",M169="e",N169="d",N169="e"),VLOOKUP("c",'Características dos Cabos'!$D$25:$L$29,9),IF(OR(M169="f",M169="g",M169="h",N169="f",N169="g",N169="h"),VLOOKUP("d",'Características dos Cabos'!$D$25:$L$29,9),IF(OR(M169="i",M169="j",M169="l",M169="m",N169="i",N169="j",N169="l",N169="m"),VLOOKUP("e",'Características dos Cabos'!$D$25:$L$29,9),"")))))</f>
        <v/>
      </c>
      <c r="T169" s="309" t="str">
        <f t="shared" si="56"/>
        <v/>
      </c>
      <c r="U169" s="310" t="str">
        <f>IF(OR(M169="a",N169="a"),VLOOKUP("a",'Características dos Cabos'!$D$25:$L$29,3),IF(OR(M169="b",M169="c",N169="b",N169="c"),VLOOKUP("b",'Características dos Cabos'!$D$25:$L$29,3),IF(OR(M169="d",M169="e",N169="d",N169="e"),VLOOKUP("c",'Características dos Cabos'!$D$25:$L$29,3),IF(OR(M169="f",M169="g",M169="h",N169="f",N169="g",N169="h"),VLOOKUP("d",'Características dos Cabos'!$D$25:$L$29,3),IF(OR(M169="i",M169="j",M169="l",M169="m",N169="i",N169="j",N169="l",N169="m"),VLOOKUP("e",'Características dos Cabos'!$D$25:$L$29,3),"")))))</f>
        <v/>
      </c>
      <c r="V169" s="311" t="str">
        <f t="shared" si="57"/>
        <v/>
      </c>
      <c r="W169" s="284"/>
      <c r="X169" s="298">
        <f t="shared" si="58"/>
        <v>0</v>
      </c>
      <c r="Y169" s="298">
        <f t="shared" si="59"/>
        <v>0</v>
      </c>
      <c r="Z169" s="284"/>
    </row>
    <row r="170" spans="1:26" ht="15" customHeight="1" x14ac:dyDescent="0.25">
      <c r="A170" s="508"/>
      <c r="B170" s="511"/>
      <c r="C170" s="37"/>
      <c r="D170" s="33"/>
      <c r="E170" s="48"/>
      <c r="F170" s="102" t="str">
        <f t="shared" si="45"/>
        <v/>
      </c>
      <c r="G170" s="48"/>
      <c r="H170" s="306" t="str">
        <f>IF(AND(E170="",G170=""),"",SUM(F170:G174))</f>
        <v/>
      </c>
      <c r="J170" s="33"/>
      <c r="K170" s="33"/>
      <c r="L170" s="307" t="str">
        <f>IF(OR(J170="",K170=""),"",IF(J170="3",VLOOKUP(M170,'K% (Rede Convencional)'!$B$18:$M$29,8),(IF(J170="2",VLOOKUP(N170,'K% (Rede Convencional)'!$B$18:$M$29,9),(IF(J170="1",VLOOKUP(N170,'K% (Rede Convencional)'!$B$18:$M$29,10),(IF(J170="13",VLOOKUP(N170,'K% (Rede Convencional)'!$B$18:$M$29,11),(IF(J170="12",VLOOKUP(N170,'K% (Rede Convencional)'!$B$18:$M$29,12),0))))))))))</f>
        <v/>
      </c>
      <c r="M170" s="308" t="str">
        <f t="shared" si="53"/>
        <v/>
      </c>
      <c r="N170" s="308" t="str">
        <f>IF(K170="","",IF(K170="4 (4)","a",IF(OR(K170="2 (4)",K170="2 (2)"),VLOOKUP(K170,BT!$AE$21:$AF$22,2,FALSE),IF(OR(K170="1/0 (4)",K170="1/0 (2)"),VLOOKUP(K170,BT!$AE$24:$AF$25,2,FALSE),IF(OR(K170="4/0 (4)",K170="4/0 (2)",K170="4/0 (1/0)"),VLOOKUP(K170,BT!$AE$27:$AF$29,2,FALSE),IF(OR(K170="336,4 (4)",K170="336,4 (2)",K170="336,4 (1/0)",K170="336,4 (4/0)"),VLOOKUP(K170,BT!$AE$31:$AF$34,2,FALSE),0))))))</f>
        <v/>
      </c>
      <c r="O170" s="48"/>
      <c r="P170" s="309" t="str">
        <f t="shared" si="54"/>
        <v/>
      </c>
      <c r="Q170" s="309" t="str">
        <f>IF(P170="","",SUM($P$45:P170)+$W$115)</f>
        <v/>
      </c>
      <c r="R170" s="309" t="str">
        <f t="shared" si="55"/>
        <v/>
      </c>
      <c r="S170" s="310" t="str">
        <f>IF(OR(M170="a",N170="a"),VLOOKUP("a",'Características dos Cabos'!$D$25:$L$29,9),IF(OR(M170="b",M170="c",N170="b",N170="c"),VLOOKUP("b",'Características dos Cabos'!$D$25:$L$29,9),IF(OR(M170="d",M170="e",N170="d",N170="e"),VLOOKUP("c",'Características dos Cabos'!$D$25:$L$29,9),IF(OR(M170="f",M170="g",M170="h",N170="f",N170="g",N170="h"),VLOOKUP("d",'Características dos Cabos'!$D$25:$L$29,9),IF(OR(M170="i",M170="j",M170="l",M170="m",N170="i",N170="j",N170="l",N170="m"),VLOOKUP("e",'Características dos Cabos'!$D$25:$L$29,9),"")))))</f>
        <v/>
      </c>
      <c r="T170" s="309" t="str">
        <f t="shared" si="56"/>
        <v/>
      </c>
      <c r="U170" s="310" t="str">
        <f>IF(OR(M170="a",N170="a"),VLOOKUP("a",'Características dos Cabos'!$D$25:$L$29,3),IF(OR(M170="b",M170="c",N170="b",N170="c"),VLOOKUP("b",'Características dos Cabos'!$D$25:$L$29,3),IF(OR(M170="d",M170="e",N170="d",N170="e"),VLOOKUP("c",'Características dos Cabos'!$D$25:$L$29,3),IF(OR(M170="f",M170="g",M170="h",N170="f",N170="g",N170="h"),VLOOKUP("d",'Características dos Cabos'!$D$25:$L$29,3),IF(OR(M170="i",M170="j",M170="l",M170="m",N170="i",N170="j",N170="l",N170="m"),VLOOKUP("e",'Características dos Cabos'!$D$25:$L$29,3),"")))))</f>
        <v/>
      </c>
      <c r="V170" s="311" t="str">
        <f t="shared" si="57"/>
        <v/>
      </c>
      <c r="W170" s="284"/>
      <c r="X170" s="298">
        <f t="shared" si="58"/>
        <v>0</v>
      </c>
      <c r="Y170" s="298">
        <f t="shared" si="59"/>
        <v>0</v>
      </c>
      <c r="Z170" s="284"/>
    </row>
    <row r="171" spans="1:26" ht="15" customHeight="1" x14ac:dyDescent="0.25">
      <c r="A171" s="508"/>
      <c r="B171" s="511"/>
      <c r="C171" s="37"/>
      <c r="D171" s="33"/>
      <c r="E171" s="48"/>
      <c r="F171" s="102" t="str">
        <f t="shared" si="45"/>
        <v/>
      </c>
      <c r="G171" s="48"/>
      <c r="H171" s="306" t="str">
        <f>IF(AND(E171="",G171=""),"",SUM(F171:G174))</f>
        <v/>
      </c>
      <c r="J171" s="33"/>
      <c r="K171" s="33"/>
      <c r="L171" s="307" t="str">
        <f>IF(OR(J171="",K171=""),"",IF(J171="3",VLOOKUP(M171,'K% (Rede Convencional)'!$B$18:$M$29,8),(IF(J171="2",VLOOKUP(N171,'K% (Rede Convencional)'!$B$18:$M$29,9),(IF(J171="1",VLOOKUP(N171,'K% (Rede Convencional)'!$B$18:$M$29,10),(IF(J171="13",VLOOKUP(N171,'K% (Rede Convencional)'!$B$18:$M$29,11),(IF(J171="12",VLOOKUP(N171,'K% (Rede Convencional)'!$B$18:$M$29,12),0))))))))))</f>
        <v/>
      </c>
      <c r="M171" s="308" t="str">
        <f t="shared" si="53"/>
        <v/>
      </c>
      <c r="N171" s="308" t="str">
        <f>IF(K171="","",IF(K171="4 (4)","a",IF(OR(K171="2 (4)",K171="2 (2)"),VLOOKUP(K171,BT!$AE$21:$AF$22,2,FALSE),IF(OR(K171="1/0 (4)",K171="1/0 (2)"),VLOOKUP(K171,BT!$AE$24:$AF$25,2,FALSE),IF(OR(K171="4/0 (4)",K171="4/0 (2)",K171="4/0 (1/0)"),VLOOKUP(K171,BT!$AE$27:$AF$29,2,FALSE),IF(OR(K171="336,4 (4)",K171="336,4 (2)",K171="336,4 (1/0)",K171="336,4 (4/0)"),VLOOKUP(K171,BT!$AE$31:$AF$34,2,FALSE),0))))))</f>
        <v/>
      </c>
      <c r="O171" s="48"/>
      <c r="P171" s="309" t="str">
        <f t="shared" si="54"/>
        <v/>
      </c>
      <c r="Q171" s="309" t="str">
        <f>IF(P171="","",SUM($P$45:P171)+$W$115)</f>
        <v/>
      </c>
      <c r="R171" s="309" t="str">
        <f t="shared" si="55"/>
        <v/>
      </c>
      <c r="S171" s="310" t="str">
        <f>IF(OR(M171="a",N171="a"),VLOOKUP("a",'Características dos Cabos'!$D$25:$L$29,9),IF(OR(M171="b",M171="c",N171="b",N171="c"),VLOOKUP("b",'Características dos Cabos'!$D$25:$L$29,9),IF(OR(M171="d",M171="e",N171="d",N171="e"),VLOOKUP("c",'Características dos Cabos'!$D$25:$L$29,9),IF(OR(M171="f",M171="g",M171="h",N171="f",N171="g",N171="h"),VLOOKUP("d",'Características dos Cabos'!$D$25:$L$29,9),IF(OR(M171="i",M171="j",M171="l",M171="m",N171="i",N171="j",N171="l",N171="m"),VLOOKUP("e",'Características dos Cabos'!$D$25:$L$29,9),"")))))</f>
        <v/>
      </c>
      <c r="T171" s="309" t="str">
        <f t="shared" si="56"/>
        <v/>
      </c>
      <c r="U171" s="310" t="str">
        <f>IF(OR(M171="a",N171="a"),VLOOKUP("a",'Características dos Cabos'!$D$25:$L$29,3),IF(OR(M171="b",M171="c",N171="b",N171="c"),VLOOKUP("b",'Características dos Cabos'!$D$25:$L$29,3),IF(OR(M171="d",M171="e",N171="d",N171="e"),VLOOKUP("c",'Características dos Cabos'!$D$25:$L$29,3),IF(OR(M171="f",M171="g",M171="h",N171="f",N171="g",N171="h"),VLOOKUP("d",'Características dos Cabos'!$D$25:$L$29,3),IF(OR(M171="i",M171="j",M171="l",M171="m",N171="i",N171="j",N171="l",N171="m"),VLOOKUP("e",'Características dos Cabos'!$D$25:$L$29,3),"")))))</f>
        <v/>
      </c>
      <c r="V171" s="311" t="str">
        <f t="shared" si="57"/>
        <v/>
      </c>
      <c r="W171" s="284"/>
      <c r="X171" s="298">
        <f t="shared" si="58"/>
        <v>0</v>
      </c>
      <c r="Y171" s="298">
        <f t="shared" si="59"/>
        <v>0</v>
      </c>
      <c r="Z171" s="284"/>
    </row>
    <row r="172" spans="1:26" ht="15" customHeight="1" x14ac:dyDescent="0.25">
      <c r="A172" s="508"/>
      <c r="B172" s="511"/>
      <c r="C172" s="37"/>
      <c r="D172" s="33"/>
      <c r="E172" s="48"/>
      <c r="F172" s="102" t="str">
        <f t="shared" si="45"/>
        <v/>
      </c>
      <c r="G172" s="48"/>
      <c r="H172" s="306" t="str">
        <f>IF(AND(E172="",G172=""),"",SUM(F172:G174))</f>
        <v/>
      </c>
      <c r="J172" s="33"/>
      <c r="K172" s="33"/>
      <c r="L172" s="307" t="str">
        <f>IF(OR(J172="",K172=""),"",IF(J172="3",VLOOKUP(M172,'K% (Rede Convencional)'!$B$18:$M$29,8),(IF(J172="2",VLOOKUP(N172,'K% (Rede Convencional)'!$B$18:$M$29,9),(IF(J172="1",VLOOKUP(N172,'K% (Rede Convencional)'!$B$18:$M$29,10),(IF(J172="13",VLOOKUP(N172,'K% (Rede Convencional)'!$B$18:$M$29,11),(IF(J172="12",VLOOKUP(N172,'K% (Rede Convencional)'!$B$18:$M$29,12),0))))))))))</f>
        <v/>
      </c>
      <c r="M172" s="308" t="str">
        <f t="shared" si="53"/>
        <v/>
      </c>
      <c r="N172" s="308" t="str">
        <f>IF(K172="","",IF(K172="4 (4)","a",IF(OR(K172="2 (4)",K172="2 (2)"),VLOOKUP(K172,BT!$AE$21:$AF$22,2,FALSE),IF(OR(K172="1/0 (4)",K172="1/0 (2)"),VLOOKUP(K172,BT!$AE$24:$AF$25,2,FALSE),IF(OR(K172="4/0 (4)",K172="4/0 (2)",K172="4/0 (1/0)"),VLOOKUP(K172,BT!$AE$27:$AF$29,2,FALSE),IF(OR(K172="336,4 (4)",K172="336,4 (2)",K172="336,4 (1/0)",K172="336,4 (4/0)"),VLOOKUP(K172,BT!$AE$31:$AF$34,2,FALSE),0))))))</f>
        <v/>
      </c>
      <c r="O172" s="48"/>
      <c r="P172" s="309" t="str">
        <f t="shared" si="54"/>
        <v/>
      </c>
      <c r="Q172" s="309" t="str">
        <f>IF(P172="","",SUM($P$45:P172)+$W$115)</f>
        <v/>
      </c>
      <c r="R172" s="309" t="str">
        <f t="shared" si="55"/>
        <v/>
      </c>
      <c r="S172" s="310" t="str">
        <f>IF(OR(M172="a",N172="a"),VLOOKUP("a",'Características dos Cabos'!$D$25:$L$29,9),IF(OR(M172="b",M172="c",N172="b",N172="c"),VLOOKUP("b",'Características dos Cabos'!$D$25:$L$29,9),IF(OR(M172="d",M172="e",N172="d",N172="e"),VLOOKUP("c",'Características dos Cabos'!$D$25:$L$29,9),IF(OR(M172="f",M172="g",M172="h",N172="f",N172="g",N172="h"),VLOOKUP("d",'Características dos Cabos'!$D$25:$L$29,9),IF(OR(M172="i",M172="j",M172="l",M172="m",N172="i",N172="j",N172="l",N172="m"),VLOOKUP("e",'Características dos Cabos'!$D$25:$L$29,9),"")))))</f>
        <v/>
      </c>
      <c r="T172" s="309" t="str">
        <f t="shared" si="56"/>
        <v/>
      </c>
      <c r="U172" s="310" t="str">
        <f>IF(OR(M172="a",N172="a"),VLOOKUP("a",'Características dos Cabos'!$D$25:$L$29,3),IF(OR(M172="b",M172="c",N172="b",N172="c"),VLOOKUP("b",'Características dos Cabos'!$D$25:$L$29,3),IF(OR(M172="d",M172="e",N172="d",N172="e"),VLOOKUP("c",'Características dos Cabos'!$D$25:$L$29,3),IF(OR(M172="f",M172="g",M172="h",N172="f",N172="g",N172="h"),VLOOKUP("d",'Características dos Cabos'!$D$25:$L$29,3),IF(OR(M172="i",M172="j",M172="l",M172="m",N172="i",N172="j",N172="l",N172="m"),VLOOKUP("e",'Características dos Cabos'!$D$25:$L$29,3),"")))))</f>
        <v/>
      </c>
      <c r="V172" s="311" t="str">
        <f t="shared" si="57"/>
        <v/>
      </c>
      <c r="W172" s="284"/>
      <c r="X172" s="298">
        <f t="shared" si="58"/>
        <v>0</v>
      </c>
      <c r="Y172" s="298">
        <f t="shared" si="59"/>
        <v>0</v>
      </c>
      <c r="Z172" s="284"/>
    </row>
    <row r="173" spans="1:26" ht="15" customHeight="1" x14ac:dyDescent="0.25">
      <c r="A173" s="508"/>
      <c r="B173" s="511"/>
      <c r="C173" s="37"/>
      <c r="D173" s="33"/>
      <c r="E173" s="48"/>
      <c r="F173" s="102" t="str">
        <f t="shared" si="45"/>
        <v/>
      </c>
      <c r="G173" s="48"/>
      <c r="H173" s="306" t="str">
        <f>IF(AND(E173="",G173=""),"",SUM(F173:G174))</f>
        <v/>
      </c>
      <c r="J173" s="33"/>
      <c r="K173" s="33"/>
      <c r="L173" s="307" t="str">
        <f>IF(OR(J173="",K173=""),"",IF(J173="3",VLOOKUP(M173,'K% (Rede Convencional)'!$B$18:$M$29,8),(IF(J173="2",VLOOKUP(N173,'K% (Rede Convencional)'!$B$18:$M$29,9),(IF(J173="1",VLOOKUP(N173,'K% (Rede Convencional)'!$B$18:$M$29,10),(IF(J173="13",VLOOKUP(N173,'K% (Rede Convencional)'!$B$18:$M$29,11),(IF(J173="12",VLOOKUP(N173,'K% (Rede Convencional)'!$B$18:$M$29,12),0))))))))))</f>
        <v/>
      </c>
      <c r="M173" s="308" t="str">
        <f t="shared" si="53"/>
        <v/>
      </c>
      <c r="N173" s="308" t="str">
        <f>IF(K173="","",IF(K173="4 (4)","a",IF(OR(K173="2 (4)",K173="2 (2)"),VLOOKUP(K173,BT!$AE$21:$AF$22,2,FALSE),IF(OR(K173="1/0 (4)",K173="1/0 (2)"),VLOOKUP(K173,BT!$AE$24:$AF$25,2,FALSE),IF(OR(K173="4/0 (4)",K173="4/0 (2)",K173="4/0 (1/0)"),VLOOKUP(K173,BT!$AE$27:$AF$29,2,FALSE),IF(OR(K173="336,4 (4)",K173="336,4 (2)",K173="336,4 (1/0)",K173="336,4 (4/0)"),VLOOKUP(K173,BT!$AE$31:$AF$34,2,FALSE),0))))))</f>
        <v/>
      </c>
      <c r="O173" s="48"/>
      <c r="P173" s="309" t="str">
        <f t="shared" si="54"/>
        <v/>
      </c>
      <c r="Q173" s="309" t="str">
        <f>IF(P173="","",SUM($P$45:P173)+$W$115)</f>
        <v/>
      </c>
      <c r="R173" s="309" t="str">
        <f t="shared" si="55"/>
        <v/>
      </c>
      <c r="S173" s="310" t="str">
        <f>IF(OR(M173="a",N173="a"),VLOOKUP("a",'Características dos Cabos'!$D$25:$L$29,9),IF(OR(M173="b",M173="c",N173="b",N173="c"),VLOOKUP("b",'Características dos Cabos'!$D$25:$L$29,9),IF(OR(M173="d",M173="e",N173="d",N173="e"),VLOOKUP("c",'Características dos Cabos'!$D$25:$L$29,9),IF(OR(M173="f",M173="g",M173="h",N173="f",N173="g",N173="h"),VLOOKUP("d",'Características dos Cabos'!$D$25:$L$29,9),IF(OR(M173="i",M173="j",M173="l",M173="m",N173="i",N173="j",N173="l",N173="m"),VLOOKUP("e",'Características dos Cabos'!$D$25:$L$29,9),"")))))</f>
        <v/>
      </c>
      <c r="T173" s="309" t="str">
        <f t="shared" si="56"/>
        <v/>
      </c>
      <c r="U173" s="310" t="str">
        <f>IF(OR(M173="a",N173="a"),VLOOKUP("a",'Características dos Cabos'!$D$25:$L$29,3),IF(OR(M173="b",M173="c",N173="b",N173="c"),VLOOKUP("b",'Características dos Cabos'!$D$25:$L$29,3),IF(OR(M173="d",M173="e",N173="d",N173="e"),VLOOKUP("c",'Características dos Cabos'!$D$25:$L$29,3),IF(OR(M173="f",M173="g",M173="h",N173="f",N173="g",N173="h"),VLOOKUP("d",'Características dos Cabos'!$D$25:$L$29,3),IF(OR(M173="i",M173="j",M173="l",M173="m",N173="i",N173="j",N173="l",N173="m"),VLOOKUP("e",'Características dos Cabos'!$D$25:$L$29,3),"")))))</f>
        <v/>
      </c>
      <c r="V173" s="311" t="str">
        <f t="shared" si="57"/>
        <v/>
      </c>
      <c r="W173" s="284"/>
      <c r="X173" s="298">
        <f t="shared" si="58"/>
        <v>0</v>
      </c>
      <c r="Y173" s="298">
        <f t="shared" si="59"/>
        <v>0</v>
      </c>
      <c r="Z173" s="284"/>
    </row>
    <row r="174" spans="1:26" ht="15" customHeight="1" thickBot="1" x14ac:dyDescent="0.3">
      <c r="A174" s="508"/>
      <c r="B174" s="512"/>
      <c r="C174" s="38"/>
      <c r="D174" s="34"/>
      <c r="E174" s="49"/>
      <c r="F174" s="64" t="str">
        <f t="shared" si="45"/>
        <v/>
      </c>
      <c r="G174" s="49"/>
      <c r="H174" s="328" t="str">
        <f>IF(AND(E174="",G174=""),"",SUM(F174:G174))</f>
        <v/>
      </c>
      <c r="J174" s="34"/>
      <c r="K174" s="34"/>
      <c r="L174" s="329" t="str">
        <f>IF(OR(J174="",K174=""),"",IF(J174="3",VLOOKUP(M174,'K% (Rede Convencional)'!$B$18:$M$29,8),(IF(J174="2",VLOOKUP(N174,'K% (Rede Convencional)'!$B$18:$M$29,9),(IF(J174="1",VLOOKUP(N174,'K% (Rede Convencional)'!$B$18:$M$29,10),(IF(J174="13",VLOOKUP(N174,'K% (Rede Convencional)'!$B$18:$M$29,11),(IF(J174="12",VLOOKUP(N174,'K% (Rede Convencional)'!$B$18:$M$29,12),0))))))))))</f>
        <v/>
      </c>
      <c r="M174" s="330" t="str">
        <f t="shared" si="53"/>
        <v/>
      </c>
      <c r="N174" s="330" t="str">
        <f>IF(K174="","",IF(K174="4 (4)","a",IF(OR(K174="2 (4)",K174="2 (2)"),VLOOKUP(K174,BT!$AE$21:$AF$22,2,FALSE),IF(OR(K174="1/0 (4)",K174="1/0 (2)"),VLOOKUP(K174,BT!$AE$24:$AF$25,2,FALSE),IF(OR(K174="4/0 (4)",K174="4/0 (2)",K174="4/0 (1/0)"),VLOOKUP(K174,BT!$AE$27:$AF$29,2,FALSE),IF(OR(K174="336,4 (4)",K174="336,4 (2)",K174="336,4 (1/0)",K174="336,4 (4/0)"),VLOOKUP(K174,BT!$AE$31:$AF$34,2,FALSE),0))))))</f>
        <v/>
      </c>
      <c r="O174" s="49"/>
      <c r="P174" s="331" t="str">
        <f t="shared" si="54"/>
        <v/>
      </c>
      <c r="Q174" s="331" t="str">
        <f>IF(P174="","",SUM($P$45:P174)+$W$115)</f>
        <v/>
      </c>
      <c r="R174" s="331" t="str">
        <f t="shared" si="55"/>
        <v/>
      </c>
      <c r="S174" s="332" t="str">
        <f>IF(N174="a",VLOOKUP("a",#REF!,9),IF(OR(N174="b",N174="c"),VLOOKUP("b",#REF!,9),IF(OR(N174="d",N174="e"),VLOOKUP("c",#REF!,9),IF(OR(N174="f",N174="g",N174="h"),VLOOKUP("d",#REF!,9),IF(OR(N174="i",N174="j",N174="l",N174="m"),VLOOKUP("e",#REF!,9),"")))))</f>
        <v/>
      </c>
      <c r="T174" s="331" t="str">
        <f t="shared" si="56"/>
        <v/>
      </c>
      <c r="U174" s="332" t="str">
        <f>IF(OR(M174="a",N174="a"),VLOOKUP("a",'Características dos Cabos'!$D$25:$L$29,3),IF(OR(M174="b",M174="c",N174="b",N174="c"),VLOOKUP("b",'Características dos Cabos'!$D$25:$L$29,3),IF(OR(M174="d",M174="e",N174="d",N174="e"),VLOOKUP("c",'Características dos Cabos'!$D$25:$L$29,3),IF(OR(M174="f",M174="g",M174="h",N174="f",N174="g",N174="h"),VLOOKUP("d",'Características dos Cabos'!$D$25:$L$29,3),IF(OR(M174="i",M174="j",M174="l",M174="m",N174="i",N174="j",N174="l",N174="m"),VLOOKUP("e",'Características dos Cabos'!$D$25:$L$29,3),"")))))</f>
        <v/>
      </c>
      <c r="V174" s="333" t="str">
        <f t="shared" si="57"/>
        <v/>
      </c>
      <c r="W174" s="284"/>
      <c r="X174" s="298">
        <f t="shared" si="58"/>
        <v>0</v>
      </c>
      <c r="Y174" s="298">
        <f t="shared" si="59"/>
        <v>0</v>
      </c>
      <c r="Z174" s="284"/>
    </row>
    <row r="175" spans="1:26" ht="15" customHeight="1" thickTop="1" x14ac:dyDescent="0.25">
      <c r="A175" s="508"/>
      <c r="B175" s="510" t="str">
        <f>CONCATENATE("Ramal 14 - Derivando no ponto ",C175)</f>
        <v xml:space="preserve">Ramal 14 - Derivando no ponto </v>
      </c>
      <c r="C175" s="36"/>
      <c r="D175" s="35"/>
      <c r="E175" s="47"/>
      <c r="F175" s="102" t="str">
        <f t="shared" si="45"/>
        <v/>
      </c>
      <c r="G175" s="47"/>
      <c r="H175" s="320" t="str">
        <f>IF(AND(E175="",G175=""),"",SUM(F175:G184))</f>
        <v/>
      </c>
      <c r="J175" s="35"/>
      <c r="K175" s="35"/>
      <c r="L175" s="321" t="str">
        <f>IF(OR(J175="",K175=""),"",IF(J175="3",VLOOKUP(M175,'K% (Rede Convencional)'!$B$18:$M$29,8),(IF(J175="2",VLOOKUP(N175,'K% (Rede Convencional)'!$B$18:$M$29,9),(IF(J175="1",VLOOKUP(N175,'K% (Rede Convencional)'!$B$18:$M$29,10),(IF(J175="13",VLOOKUP(N175,'K% (Rede Convencional)'!$B$18:$M$29,11),(IF(J175="12",VLOOKUP(N175,'K% (Rede Convencional)'!$B$18:$M$29,12),0))))))))))</f>
        <v/>
      </c>
      <c r="M175" s="294" t="str">
        <f t="shared" ref="M175:M184" si="60">IF(K175="4","a",IF(K175="2","b",IF(K175="1/0","d",IF(K175="4/0","f",IF(K175="336,4","i","")))))</f>
        <v/>
      </c>
      <c r="N175" s="294" t="str">
        <f>IF(K175="","",IF(K175="4 (4)","a",IF(OR(K175="2 (4)",K175="2 (2)"),VLOOKUP(K175,BT!$AE$21:$AF$22,2,FALSE),IF(OR(K175="1/0 (4)",K175="1/0 (2)"),VLOOKUP(K175,BT!$AE$24:$AF$25,2,FALSE),IF(OR(K175="4/0 (4)",K175="4/0 (2)",K175="4/0 (1/0)"),VLOOKUP(K175,BT!$AE$27:$AF$29,2,FALSE),IF(OR(K175="336,4 (4)",K175="336,4 (2)",K175="336,4 (1/0)",K175="336,4 (4/0)"),VLOOKUP(K175,BT!$AE$31:$AF$34,2,FALSE),0))))))</f>
        <v/>
      </c>
      <c r="O175" s="47"/>
      <c r="P175" s="322" t="str">
        <f t="shared" ref="P175:P184" si="61">IF(OR(H175="",L175="",O175=""),"",L175*H175*O175)</f>
        <v/>
      </c>
      <c r="Q175" s="322" t="str">
        <f>IF(P175="","",P175+VLOOKUP(C175,$D$21:$Q$43,13,FALSE))</f>
        <v/>
      </c>
      <c r="R175" s="322" t="str">
        <f t="shared" ref="R175:R184" si="62">IF(H175="","",IF(J175="3",H175*1000/($D$14*SQRT(3)),IF(J175="2",H175*1000*SQRT(3)/($D$14*2),IF(J175="1",H175*1000*SQRT(3)/$D$14,IF(J175="13",H175*1000/$D$16,IF(J175="12",H175*1000*2/$D$16,"erro"))))))</f>
        <v/>
      </c>
      <c r="S175" s="323" t="str">
        <f>IF(OR(M175="a",N175="a"),VLOOKUP("a",'Características dos Cabos'!$D$25:$L$29,9),IF(OR(M175="b",M175="c",N175="b",N175="c"),VLOOKUP("b",'Características dos Cabos'!$D$25:$L$29,9),IF(OR(M175="d",M175="e",N175="d",N175="e"),VLOOKUP("c",'Características dos Cabos'!$D$25:$L$29,9),IF(OR(M175="f",M175="g",M175="h",N175="f",N175="g",N175="h"),VLOOKUP("d",'Características dos Cabos'!$D$25:$L$29,9),IF(OR(M175="i",M175="j",M175="l",M175="m",N175="i",N175="j",N175="l",N175="m"),VLOOKUP("e",'Características dos Cabos'!$D$25:$L$29,9),"")))))</f>
        <v/>
      </c>
      <c r="T175" s="322" t="str">
        <f t="shared" ref="T175:T184" si="63">IF(S175="","",R175*100/S175)</f>
        <v/>
      </c>
      <c r="U175" s="323" t="str">
        <f>IF(OR(M175="a",N175="a"),VLOOKUP("a",'Características dos Cabos'!$D$25:$L$29,3),IF(OR(M175="b",M175="c",N175="b",N175="c"),VLOOKUP("b",'Características dos Cabos'!$D$25:$L$29,3),IF(OR(M175="d",M175="e",N175="d",N175="e"),VLOOKUP("c",'Características dos Cabos'!$D$25:$L$29,3),IF(OR(M175="f",M175="g",M175="h",N175="f",N175="g",N175="h"),VLOOKUP("d",'Características dos Cabos'!$D$25:$L$29,3),IF(OR(M175="i",M175="j",M175="l",M175="m",N175="i",N175="j",N175="l",N175="m"),VLOOKUP("e",'Características dos Cabos'!$D$25:$L$29,3),"")))))</f>
        <v/>
      </c>
      <c r="V175" s="324" t="str">
        <f t="shared" ref="V175:V184" si="64">IF(OR(O175="",$G$16="",H175="",N175=""),"",IF(J175="3",3*$L$12*U175*O175/1000*R175^2*8.76,IF(OR(J175="2",J175="13"),2*$L$12*U175*O175/1000*R175^2*8.76,IF(OR(J175="1",J175="12"),$L$12*U175*O175/1000*R175^2*8.76))))</f>
        <v/>
      </c>
      <c r="W175" s="343" t="e">
        <f>VLOOKUP(C175,$D$21:$Q$43,12,FALSE)</f>
        <v>#N/A</v>
      </c>
      <c r="X175" s="298">
        <f t="shared" ref="X175:X184" si="65">D175</f>
        <v>0</v>
      </c>
      <c r="Y175" s="298">
        <f t="shared" ref="Y175:Y184" si="66">K175</f>
        <v>0</v>
      </c>
      <c r="Z175" s="284"/>
    </row>
    <row r="176" spans="1:26" ht="15" customHeight="1" x14ac:dyDescent="0.25">
      <c r="A176" s="508"/>
      <c r="B176" s="511"/>
      <c r="C176" s="37"/>
      <c r="D176" s="33"/>
      <c r="E176" s="48"/>
      <c r="F176" s="102" t="str">
        <f t="shared" si="45"/>
        <v/>
      </c>
      <c r="G176" s="48"/>
      <c r="H176" s="306" t="str">
        <f>IF(AND(E176="",G176=""),"",SUM(F176:G184))</f>
        <v/>
      </c>
      <c r="J176" s="33"/>
      <c r="K176" s="33"/>
      <c r="L176" s="307" t="str">
        <f>IF(OR(J176="",K176=""),"",IF(J176="3",VLOOKUP(M176,'K% (Rede Convencional)'!$B$18:$M$29,8),(IF(J176="2",VLOOKUP(N176,'K% (Rede Convencional)'!$B$18:$M$29,9),(IF(J176="1",VLOOKUP(N176,'K% (Rede Convencional)'!$B$18:$M$29,10),(IF(J176="13",VLOOKUP(N176,'K% (Rede Convencional)'!$B$18:$M$29,11),(IF(J176="12",VLOOKUP(N176,'K% (Rede Convencional)'!$B$18:$M$29,12),0))))))))))</f>
        <v/>
      </c>
      <c r="M176" s="308" t="str">
        <f t="shared" si="60"/>
        <v/>
      </c>
      <c r="N176" s="308" t="str">
        <f>IF(K176="","",IF(K176="4 (4)","a",IF(OR(K176="2 (4)",K176="2 (2)"),VLOOKUP(K176,BT!$AE$21:$AF$22,2,FALSE),IF(OR(K176="1/0 (4)",K176="1/0 (2)"),VLOOKUP(K176,BT!$AE$24:$AF$25,2,FALSE),IF(OR(K176="4/0 (4)",K176="4/0 (2)",K176="4/0 (1/0)"),VLOOKUP(K176,BT!$AE$27:$AF$29,2,FALSE),IF(OR(K176="336,4 (4)",K176="336,4 (2)",K176="336,4 (1/0)",K176="336,4 (4/0)"),VLOOKUP(K176,BT!$AE$31:$AF$34,2,FALSE),0))))))</f>
        <v/>
      </c>
      <c r="O176" s="48"/>
      <c r="P176" s="309" t="str">
        <f t="shared" si="61"/>
        <v/>
      </c>
      <c r="Q176" s="309" t="str">
        <f>IF(P176="","",SUM($P$45:P176)+$W$115)</f>
        <v/>
      </c>
      <c r="R176" s="309" t="str">
        <f t="shared" si="62"/>
        <v/>
      </c>
      <c r="S176" s="310" t="str">
        <f>IF(OR(M176="a",N176="a"),VLOOKUP("a",'Características dos Cabos'!$D$25:$L$29,9),IF(OR(M176="b",M176="c",N176="b",N176="c"),VLOOKUP("b",'Características dos Cabos'!$D$25:$L$29,9),IF(OR(M176="d",M176="e",N176="d",N176="e"),VLOOKUP("c",'Características dos Cabos'!$D$25:$L$29,9),IF(OR(M176="f",M176="g",M176="h",N176="f",N176="g",N176="h"),VLOOKUP("d",'Características dos Cabos'!$D$25:$L$29,9),IF(OR(M176="i",M176="j",M176="l",M176="m",N176="i",N176="j",N176="l",N176="m"),VLOOKUP("e",'Características dos Cabos'!$D$25:$L$29,9),"")))))</f>
        <v/>
      </c>
      <c r="T176" s="309" t="str">
        <f t="shared" si="63"/>
        <v/>
      </c>
      <c r="U176" s="310" t="str">
        <f>IF(OR(M176="a",N176="a"),VLOOKUP("a",'Características dos Cabos'!$D$25:$L$29,3),IF(OR(M176="b",M176="c",N176="b",N176="c"),VLOOKUP("b",'Características dos Cabos'!$D$25:$L$29,3),IF(OR(M176="d",M176="e",N176="d",N176="e"),VLOOKUP("c",'Características dos Cabos'!$D$25:$L$29,3),IF(OR(M176="f",M176="g",M176="h",N176="f",N176="g",N176="h"),VLOOKUP("d",'Características dos Cabos'!$D$25:$L$29,3),IF(OR(M176="i",M176="j",M176="l",M176="m",N176="i",N176="j",N176="l",N176="m"),VLOOKUP("e",'Características dos Cabos'!$D$25:$L$29,3),"")))))</f>
        <v/>
      </c>
      <c r="V176" s="311" t="str">
        <f t="shared" si="64"/>
        <v/>
      </c>
      <c r="W176" s="284"/>
      <c r="X176" s="298">
        <f t="shared" si="65"/>
        <v>0</v>
      </c>
      <c r="Y176" s="298">
        <f t="shared" si="66"/>
        <v>0</v>
      </c>
      <c r="Z176" s="284"/>
    </row>
    <row r="177" spans="1:26" ht="15" customHeight="1" x14ac:dyDescent="0.25">
      <c r="A177" s="508"/>
      <c r="B177" s="511"/>
      <c r="C177" s="37"/>
      <c r="D177" s="33"/>
      <c r="E177" s="48"/>
      <c r="F177" s="102" t="str">
        <f t="shared" si="45"/>
        <v/>
      </c>
      <c r="G177" s="48"/>
      <c r="H177" s="306" t="str">
        <f>IF(AND(E177="",G177=""),"",SUM(F177:G184))</f>
        <v/>
      </c>
      <c r="J177" s="33"/>
      <c r="K177" s="33"/>
      <c r="L177" s="307" t="str">
        <f>IF(OR(J177="",K177=""),"",IF(J177="3",VLOOKUP(M177,'K% (Rede Convencional)'!$B$18:$M$29,8),(IF(J177="2",VLOOKUP(N177,'K% (Rede Convencional)'!$B$18:$M$29,9),(IF(J177="1",VLOOKUP(N177,'K% (Rede Convencional)'!$B$18:$M$29,10),(IF(J177="13",VLOOKUP(N177,'K% (Rede Convencional)'!$B$18:$M$29,11),(IF(J177="12",VLOOKUP(N177,'K% (Rede Convencional)'!$B$18:$M$29,12),0))))))))))</f>
        <v/>
      </c>
      <c r="M177" s="308" t="str">
        <f t="shared" si="60"/>
        <v/>
      </c>
      <c r="N177" s="308" t="str">
        <f>IF(K177="","",IF(K177="4 (4)","a",IF(OR(K177="2 (4)",K177="2 (2)"),VLOOKUP(K177,BT!$AE$21:$AF$22,2,FALSE),IF(OR(K177="1/0 (4)",K177="1/0 (2)"),VLOOKUP(K177,BT!$AE$24:$AF$25,2,FALSE),IF(OR(K177="4/0 (4)",K177="4/0 (2)",K177="4/0 (1/0)"),VLOOKUP(K177,BT!$AE$27:$AF$29,2,FALSE),IF(OR(K177="336,4 (4)",K177="336,4 (2)",K177="336,4 (1/0)",K177="336,4 (4/0)"),VLOOKUP(K177,BT!$AE$31:$AF$34,2,FALSE),0))))))</f>
        <v/>
      </c>
      <c r="O177" s="48"/>
      <c r="P177" s="309" t="str">
        <f t="shared" si="61"/>
        <v/>
      </c>
      <c r="Q177" s="309" t="str">
        <f>IF(P177="","",SUM($P$45:P177)+$W$115)</f>
        <v/>
      </c>
      <c r="R177" s="309" t="str">
        <f t="shared" si="62"/>
        <v/>
      </c>
      <c r="S177" s="310" t="str">
        <f>IF(OR(M177="a",N177="a"),VLOOKUP("a",'Características dos Cabos'!$D$25:$L$29,9),IF(OR(M177="b",M177="c",N177="b",N177="c"),VLOOKUP("b",'Características dos Cabos'!$D$25:$L$29,9),IF(OR(M177="d",M177="e",N177="d",N177="e"),VLOOKUP("c",'Características dos Cabos'!$D$25:$L$29,9),IF(OR(M177="f",M177="g",M177="h",N177="f",N177="g",N177="h"),VLOOKUP("d",'Características dos Cabos'!$D$25:$L$29,9),IF(OR(M177="i",M177="j",M177="l",M177="m",N177="i",N177="j",N177="l",N177="m"),VLOOKUP("e",'Características dos Cabos'!$D$25:$L$29,9),"")))))</f>
        <v/>
      </c>
      <c r="T177" s="309" t="str">
        <f t="shared" si="63"/>
        <v/>
      </c>
      <c r="U177" s="310" t="str">
        <f>IF(OR(M177="a",N177="a"),VLOOKUP("a",'Características dos Cabos'!$D$25:$L$29,3),IF(OR(M177="b",M177="c",N177="b",N177="c"),VLOOKUP("b",'Características dos Cabos'!$D$25:$L$29,3),IF(OR(M177="d",M177="e",N177="d",N177="e"),VLOOKUP("c",'Características dos Cabos'!$D$25:$L$29,3),IF(OR(M177="f",M177="g",M177="h",N177="f",N177="g",N177="h"),VLOOKUP("d",'Características dos Cabos'!$D$25:$L$29,3),IF(OR(M177="i",M177="j",M177="l",M177="m",N177="i",N177="j",N177="l",N177="m"),VLOOKUP("e",'Características dos Cabos'!$D$25:$L$29,3),"")))))</f>
        <v/>
      </c>
      <c r="V177" s="311" t="str">
        <f t="shared" si="64"/>
        <v/>
      </c>
      <c r="W177" s="284"/>
      <c r="X177" s="298">
        <f t="shared" si="65"/>
        <v>0</v>
      </c>
      <c r="Y177" s="298">
        <f t="shared" si="66"/>
        <v>0</v>
      </c>
      <c r="Z177" s="284"/>
    </row>
    <row r="178" spans="1:26" ht="15" customHeight="1" x14ac:dyDescent="0.25">
      <c r="A178" s="508"/>
      <c r="B178" s="511"/>
      <c r="C178" s="37"/>
      <c r="D178" s="33"/>
      <c r="E178" s="48"/>
      <c r="F178" s="102" t="str">
        <f t="shared" si="45"/>
        <v/>
      </c>
      <c r="G178" s="48"/>
      <c r="H178" s="306" t="str">
        <f>IF(AND(E178="",G178=""),"",SUM(F178:G184))</f>
        <v/>
      </c>
      <c r="J178" s="33"/>
      <c r="K178" s="33"/>
      <c r="L178" s="307" t="str">
        <f>IF(OR(J178="",K178=""),"",IF(J178="3",VLOOKUP(M178,'K% (Rede Convencional)'!$B$18:$M$29,8),(IF(J178="2",VLOOKUP(N178,'K% (Rede Convencional)'!$B$18:$M$29,9),(IF(J178="1",VLOOKUP(N178,'K% (Rede Convencional)'!$B$18:$M$29,10),(IF(J178="13",VLOOKUP(N178,'K% (Rede Convencional)'!$B$18:$M$29,11),(IF(J178="12",VLOOKUP(N178,'K% (Rede Convencional)'!$B$18:$M$29,12),0))))))))))</f>
        <v/>
      </c>
      <c r="M178" s="308" t="str">
        <f t="shared" si="60"/>
        <v/>
      </c>
      <c r="N178" s="308" t="str">
        <f>IF(K178="","",IF(K178="4 (4)","a",IF(OR(K178="2 (4)",K178="2 (2)"),VLOOKUP(K178,BT!$AE$21:$AF$22,2,FALSE),IF(OR(K178="1/0 (4)",K178="1/0 (2)"),VLOOKUP(K178,BT!$AE$24:$AF$25,2,FALSE),IF(OR(K178="4/0 (4)",K178="4/0 (2)",K178="4/0 (1/0)"),VLOOKUP(K178,BT!$AE$27:$AF$29,2,FALSE),IF(OR(K178="336,4 (4)",K178="336,4 (2)",K178="336,4 (1/0)",K178="336,4 (4/0)"),VLOOKUP(K178,BT!$AE$31:$AF$34,2,FALSE),0))))))</f>
        <v/>
      </c>
      <c r="O178" s="48"/>
      <c r="P178" s="309" t="str">
        <f t="shared" si="61"/>
        <v/>
      </c>
      <c r="Q178" s="309" t="str">
        <f>IF(P178="","",SUM($P$45:P178)+$W$115)</f>
        <v/>
      </c>
      <c r="R178" s="309" t="str">
        <f t="shared" si="62"/>
        <v/>
      </c>
      <c r="S178" s="310" t="str">
        <f>IF(OR(M178="a",N178="a"),VLOOKUP("a",'Características dos Cabos'!$D$25:$L$29,9),IF(OR(M178="b",M178="c",N178="b",N178="c"),VLOOKUP("b",'Características dos Cabos'!$D$25:$L$29,9),IF(OR(M178="d",M178="e",N178="d",N178="e"),VLOOKUP("c",'Características dos Cabos'!$D$25:$L$29,9),IF(OR(M178="f",M178="g",M178="h",N178="f",N178="g",N178="h"),VLOOKUP("d",'Características dos Cabos'!$D$25:$L$29,9),IF(OR(M178="i",M178="j",M178="l",M178="m",N178="i",N178="j",N178="l",N178="m"),VLOOKUP("e",'Características dos Cabos'!$D$25:$L$29,9),"")))))</f>
        <v/>
      </c>
      <c r="T178" s="309" t="str">
        <f t="shared" si="63"/>
        <v/>
      </c>
      <c r="U178" s="310" t="str">
        <f>IF(OR(M178="a",N178="a"),VLOOKUP("a",'Características dos Cabos'!$D$25:$L$29,3),IF(OR(M178="b",M178="c",N178="b",N178="c"),VLOOKUP("b",'Características dos Cabos'!$D$25:$L$29,3),IF(OR(M178="d",M178="e",N178="d",N178="e"),VLOOKUP("c",'Características dos Cabos'!$D$25:$L$29,3),IF(OR(M178="f",M178="g",M178="h",N178="f",N178="g",N178="h"),VLOOKUP("d",'Características dos Cabos'!$D$25:$L$29,3),IF(OR(M178="i",M178="j",M178="l",M178="m",N178="i",N178="j",N178="l",N178="m"),VLOOKUP("e",'Características dos Cabos'!$D$25:$L$29,3),"")))))</f>
        <v/>
      </c>
      <c r="V178" s="311" t="str">
        <f t="shared" si="64"/>
        <v/>
      </c>
      <c r="W178" s="284"/>
      <c r="X178" s="298">
        <f t="shared" si="65"/>
        <v>0</v>
      </c>
      <c r="Y178" s="298">
        <f t="shared" si="66"/>
        <v>0</v>
      </c>
      <c r="Z178" s="284"/>
    </row>
    <row r="179" spans="1:26" ht="15" customHeight="1" x14ac:dyDescent="0.25">
      <c r="A179" s="508"/>
      <c r="B179" s="511"/>
      <c r="C179" s="37"/>
      <c r="D179" s="33"/>
      <c r="E179" s="48"/>
      <c r="F179" s="102" t="str">
        <f t="shared" si="45"/>
        <v/>
      </c>
      <c r="G179" s="48"/>
      <c r="H179" s="306" t="str">
        <f>IF(AND(E179="",G179=""),"",SUM(F179:G184))</f>
        <v/>
      </c>
      <c r="J179" s="33"/>
      <c r="K179" s="33"/>
      <c r="L179" s="307" t="str">
        <f>IF(OR(J179="",K179=""),"",IF(J179="3",VLOOKUP(M179,'K% (Rede Convencional)'!$B$18:$M$29,8),(IF(J179="2",VLOOKUP(N179,'K% (Rede Convencional)'!$B$18:$M$29,9),(IF(J179="1",VLOOKUP(N179,'K% (Rede Convencional)'!$B$18:$M$29,10),(IF(J179="13",VLOOKUP(N179,'K% (Rede Convencional)'!$B$18:$M$29,11),(IF(J179="12",VLOOKUP(N179,'K% (Rede Convencional)'!$B$18:$M$29,12),0))))))))))</f>
        <v/>
      </c>
      <c r="M179" s="308" t="str">
        <f t="shared" si="60"/>
        <v/>
      </c>
      <c r="N179" s="308" t="str">
        <f>IF(K179="","",IF(K179="4 (4)","a",IF(OR(K179="2 (4)",K179="2 (2)"),VLOOKUP(K179,BT!$AE$21:$AF$22,2,FALSE),IF(OR(K179="1/0 (4)",K179="1/0 (2)"),VLOOKUP(K179,BT!$AE$24:$AF$25,2,FALSE),IF(OR(K179="4/0 (4)",K179="4/0 (2)",K179="4/0 (1/0)"),VLOOKUP(K179,BT!$AE$27:$AF$29,2,FALSE),IF(OR(K179="336,4 (4)",K179="336,4 (2)",K179="336,4 (1/0)",K179="336,4 (4/0)"),VLOOKUP(K179,BT!$AE$31:$AF$34,2,FALSE),0))))))</f>
        <v/>
      </c>
      <c r="O179" s="48"/>
      <c r="P179" s="309" t="str">
        <f t="shared" si="61"/>
        <v/>
      </c>
      <c r="Q179" s="309" t="str">
        <f>IF(P179="","",SUM($P$45:P179)+$W$115)</f>
        <v/>
      </c>
      <c r="R179" s="309" t="str">
        <f t="shared" si="62"/>
        <v/>
      </c>
      <c r="S179" s="310" t="str">
        <f>IF(OR(M179="a",N179="a"),VLOOKUP("a",'Características dos Cabos'!$D$25:$L$29,9),IF(OR(M179="b",M179="c",N179="b",N179="c"),VLOOKUP("b",'Características dos Cabos'!$D$25:$L$29,9),IF(OR(M179="d",M179="e",N179="d",N179="e"),VLOOKUP("c",'Características dos Cabos'!$D$25:$L$29,9),IF(OR(M179="f",M179="g",M179="h",N179="f",N179="g",N179="h"),VLOOKUP("d",'Características dos Cabos'!$D$25:$L$29,9),IF(OR(M179="i",M179="j",M179="l",M179="m",N179="i",N179="j",N179="l",N179="m"),VLOOKUP("e",'Características dos Cabos'!$D$25:$L$29,9),"")))))</f>
        <v/>
      </c>
      <c r="T179" s="309" t="str">
        <f t="shared" si="63"/>
        <v/>
      </c>
      <c r="U179" s="310" t="str">
        <f>IF(OR(M179="a",N179="a"),VLOOKUP("a",'Características dos Cabos'!$D$25:$L$29,3),IF(OR(M179="b",M179="c",N179="b",N179="c"),VLOOKUP("b",'Características dos Cabos'!$D$25:$L$29,3),IF(OR(M179="d",M179="e",N179="d",N179="e"),VLOOKUP("c",'Características dos Cabos'!$D$25:$L$29,3),IF(OR(M179="f",M179="g",M179="h",N179="f",N179="g",N179="h"),VLOOKUP("d",'Características dos Cabos'!$D$25:$L$29,3),IF(OR(M179="i",M179="j",M179="l",M179="m",N179="i",N179="j",N179="l",N179="m"),VLOOKUP("e",'Características dos Cabos'!$D$25:$L$29,3),"")))))</f>
        <v/>
      </c>
      <c r="V179" s="311" t="str">
        <f t="shared" si="64"/>
        <v/>
      </c>
      <c r="W179" s="284"/>
      <c r="X179" s="298">
        <f t="shared" si="65"/>
        <v>0</v>
      </c>
      <c r="Y179" s="298">
        <f t="shared" si="66"/>
        <v>0</v>
      </c>
      <c r="Z179" s="284"/>
    </row>
    <row r="180" spans="1:26" ht="15" customHeight="1" x14ac:dyDescent="0.25">
      <c r="A180" s="508"/>
      <c r="B180" s="511"/>
      <c r="C180" s="37"/>
      <c r="D180" s="33"/>
      <c r="E180" s="48"/>
      <c r="F180" s="102" t="str">
        <f t="shared" si="45"/>
        <v/>
      </c>
      <c r="G180" s="48"/>
      <c r="H180" s="306" t="str">
        <f>IF(AND(E180="",G180=""),"",SUM(F180:G184))</f>
        <v/>
      </c>
      <c r="J180" s="33"/>
      <c r="K180" s="33"/>
      <c r="L180" s="307" t="str">
        <f>IF(OR(J180="",K180=""),"",IF(J180="3",VLOOKUP(M180,'K% (Rede Convencional)'!$B$18:$M$29,8),(IF(J180="2",VLOOKUP(N180,'K% (Rede Convencional)'!$B$18:$M$29,9),(IF(J180="1",VLOOKUP(N180,'K% (Rede Convencional)'!$B$18:$M$29,10),(IF(J180="13",VLOOKUP(N180,'K% (Rede Convencional)'!$B$18:$M$29,11),(IF(J180="12",VLOOKUP(N180,'K% (Rede Convencional)'!$B$18:$M$29,12),0))))))))))</f>
        <v/>
      </c>
      <c r="M180" s="308" t="str">
        <f t="shared" si="60"/>
        <v/>
      </c>
      <c r="N180" s="308" t="str">
        <f>IF(K180="","",IF(K180="4 (4)","a",IF(OR(K180="2 (4)",K180="2 (2)"),VLOOKUP(K180,BT!$AE$21:$AF$22,2,FALSE),IF(OR(K180="1/0 (4)",K180="1/0 (2)"),VLOOKUP(K180,BT!$AE$24:$AF$25,2,FALSE),IF(OR(K180="4/0 (4)",K180="4/0 (2)",K180="4/0 (1/0)"),VLOOKUP(K180,BT!$AE$27:$AF$29,2,FALSE),IF(OR(K180="336,4 (4)",K180="336,4 (2)",K180="336,4 (1/0)",K180="336,4 (4/0)"),VLOOKUP(K180,BT!$AE$31:$AF$34,2,FALSE),0))))))</f>
        <v/>
      </c>
      <c r="O180" s="48"/>
      <c r="P180" s="309" t="str">
        <f t="shared" si="61"/>
        <v/>
      </c>
      <c r="Q180" s="309" t="str">
        <f>IF(P180="","",SUM($P$45:P180)+$W$115)</f>
        <v/>
      </c>
      <c r="R180" s="309" t="str">
        <f t="shared" si="62"/>
        <v/>
      </c>
      <c r="S180" s="310" t="str">
        <f>IF(OR(M180="a",N180="a"),VLOOKUP("a",'Características dos Cabos'!$D$25:$L$29,9),IF(OR(M180="b",M180="c",N180="b",N180="c"),VLOOKUP("b",'Características dos Cabos'!$D$25:$L$29,9),IF(OR(M180="d",M180="e",N180="d",N180="e"),VLOOKUP("c",'Características dos Cabos'!$D$25:$L$29,9),IF(OR(M180="f",M180="g",M180="h",N180="f",N180="g",N180="h"),VLOOKUP("d",'Características dos Cabos'!$D$25:$L$29,9),IF(OR(M180="i",M180="j",M180="l",M180="m",N180="i",N180="j",N180="l",N180="m"),VLOOKUP("e",'Características dos Cabos'!$D$25:$L$29,9),"")))))</f>
        <v/>
      </c>
      <c r="T180" s="309" t="str">
        <f t="shared" si="63"/>
        <v/>
      </c>
      <c r="U180" s="310" t="str">
        <f>IF(OR(M180="a",N180="a"),VLOOKUP("a",'Características dos Cabos'!$D$25:$L$29,3),IF(OR(M180="b",M180="c",N180="b",N180="c"),VLOOKUP("b",'Características dos Cabos'!$D$25:$L$29,3),IF(OR(M180="d",M180="e",N180="d",N180="e"),VLOOKUP("c",'Características dos Cabos'!$D$25:$L$29,3),IF(OR(M180="f",M180="g",M180="h",N180="f",N180="g",N180="h"),VLOOKUP("d",'Características dos Cabos'!$D$25:$L$29,3),IF(OR(M180="i",M180="j",M180="l",M180="m",N180="i",N180="j",N180="l",N180="m"),VLOOKUP("e",'Características dos Cabos'!$D$25:$L$29,3),"")))))</f>
        <v/>
      </c>
      <c r="V180" s="311" t="str">
        <f t="shared" si="64"/>
        <v/>
      </c>
      <c r="W180" s="284"/>
      <c r="X180" s="298">
        <f t="shared" si="65"/>
        <v>0</v>
      </c>
      <c r="Y180" s="298">
        <f t="shared" si="66"/>
        <v>0</v>
      </c>
      <c r="Z180" s="284"/>
    </row>
    <row r="181" spans="1:26" ht="15" customHeight="1" x14ac:dyDescent="0.25">
      <c r="A181" s="508"/>
      <c r="B181" s="511"/>
      <c r="C181" s="37"/>
      <c r="D181" s="33"/>
      <c r="E181" s="48"/>
      <c r="F181" s="102" t="str">
        <f t="shared" si="45"/>
        <v/>
      </c>
      <c r="G181" s="48"/>
      <c r="H181" s="306" t="str">
        <f>IF(AND(E181="",G181=""),"",SUM(F181:G184))</f>
        <v/>
      </c>
      <c r="J181" s="33"/>
      <c r="K181" s="33"/>
      <c r="L181" s="307" t="str">
        <f>IF(OR(J181="",K181=""),"",IF(J181="3",VLOOKUP(M181,'K% (Rede Convencional)'!$B$18:$M$29,8),(IF(J181="2",VLOOKUP(N181,'K% (Rede Convencional)'!$B$18:$M$29,9),(IF(J181="1",VLOOKUP(N181,'K% (Rede Convencional)'!$B$18:$M$29,10),(IF(J181="13",VLOOKUP(N181,'K% (Rede Convencional)'!$B$18:$M$29,11),(IF(J181="12",VLOOKUP(N181,'K% (Rede Convencional)'!$B$18:$M$29,12),0))))))))))</f>
        <v/>
      </c>
      <c r="M181" s="308" t="str">
        <f t="shared" si="60"/>
        <v/>
      </c>
      <c r="N181" s="308" t="str">
        <f>IF(K181="","",IF(K181="4 (4)","a",IF(OR(K181="2 (4)",K181="2 (2)"),VLOOKUP(K181,BT!$AE$21:$AF$22,2,FALSE),IF(OR(K181="1/0 (4)",K181="1/0 (2)"),VLOOKUP(K181,BT!$AE$24:$AF$25,2,FALSE),IF(OR(K181="4/0 (4)",K181="4/0 (2)",K181="4/0 (1/0)"),VLOOKUP(K181,BT!$AE$27:$AF$29,2,FALSE),IF(OR(K181="336,4 (4)",K181="336,4 (2)",K181="336,4 (1/0)",K181="336,4 (4/0)"),VLOOKUP(K181,BT!$AE$31:$AF$34,2,FALSE),0))))))</f>
        <v/>
      </c>
      <c r="O181" s="48"/>
      <c r="P181" s="309" t="str">
        <f t="shared" si="61"/>
        <v/>
      </c>
      <c r="Q181" s="309" t="str">
        <f>IF(P181="","",SUM($P$45:P181)+$W$115)</f>
        <v/>
      </c>
      <c r="R181" s="309" t="str">
        <f t="shared" si="62"/>
        <v/>
      </c>
      <c r="S181" s="310" t="str">
        <f>IF(OR(M181="a",N181="a"),VLOOKUP("a",'Características dos Cabos'!$D$25:$L$29,9),IF(OR(M181="b",M181="c",N181="b",N181="c"),VLOOKUP("b",'Características dos Cabos'!$D$25:$L$29,9),IF(OR(M181="d",M181="e",N181="d",N181="e"),VLOOKUP("c",'Características dos Cabos'!$D$25:$L$29,9),IF(OR(M181="f",M181="g",M181="h",N181="f",N181="g",N181="h"),VLOOKUP("d",'Características dos Cabos'!$D$25:$L$29,9),IF(OR(M181="i",M181="j",M181="l",M181="m",N181="i",N181="j",N181="l",N181="m"),VLOOKUP("e",'Características dos Cabos'!$D$25:$L$29,9),"")))))</f>
        <v/>
      </c>
      <c r="T181" s="309" t="str">
        <f t="shared" si="63"/>
        <v/>
      </c>
      <c r="U181" s="310" t="str">
        <f>IF(OR(M181="a",N181="a"),VLOOKUP("a",'Características dos Cabos'!$D$25:$L$29,3),IF(OR(M181="b",M181="c",N181="b",N181="c"),VLOOKUP("b",'Características dos Cabos'!$D$25:$L$29,3),IF(OR(M181="d",M181="e",N181="d",N181="e"),VLOOKUP("c",'Características dos Cabos'!$D$25:$L$29,3),IF(OR(M181="f",M181="g",M181="h",N181="f",N181="g",N181="h"),VLOOKUP("d",'Características dos Cabos'!$D$25:$L$29,3),IF(OR(M181="i",M181="j",M181="l",M181="m",N181="i",N181="j",N181="l",N181="m"),VLOOKUP("e",'Características dos Cabos'!$D$25:$L$29,3),"")))))</f>
        <v/>
      </c>
      <c r="V181" s="311" t="str">
        <f t="shared" si="64"/>
        <v/>
      </c>
      <c r="W181" s="284"/>
      <c r="X181" s="298">
        <f t="shared" si="65"/>
        <v>0</v>
      </c>
      <c r="Y181" s="298">
        <f t="shared" si="66"/>
        <v>0</v>
      </c>
      <c r="Z181" s="284"/>
    </row>
    <row r="182" spans="1:26" ht="15" customHeight="1" x14ac:dyDescent="0.25">
      <c r="A182" s="508"/>
      <c r="B182" s="511"/>
      <c r="C182" s="37"/>
      <c r="D182" s="33"/>
      <c r="E182" s="48"/>
      <c r="F182" s="102" t="str">
        <f t="shared" si="45"/>
        <v/>
      </c>
      <c r="G182" s="48"/>
      <c r="H182" s="306" t="str">
        <f>IF(AND(E182="",G182=""),"",SUM(F182:G184))</f>
        <v/>
      </c>
      <c r="J182" s="33"/>
      <c r="K182" s="33"/>
      <c r="L182" s="307" t="str">
        <f>IF(OR(J182="",K182=""),"",IF(J182="3",VLOOKUP(M182,'K% (Rede Convencional)'!$B$18:$M$29,8),(IF(J182="2",VLOOKUP(N182,'K% (Rede Convencional)'!$B$18:$M$29,9),(IF(J182="1",VLOOKUP(N182,'K% (Rede Convencional)'!$B$18:$M$29,10),(IF(J182="13",VLOOKUP(N182,'K% (Rede Convencional)'!$B$18:$M$29,11),(IF(J182="12",VLOOKUP(N182,'K% (Rede Convencional)'!$B$18:$M$29,12),0))))))))))</f>
        <v/>
      </c>
      <c r="M182" s="308" t="str">
        <f t="shared" si="60"/>
        <v/>
      </c>
      <c r="N182" s="308" t="str">
        <f>IF(K182="","",IF(K182="4 (4)","a",IF(OR(K182="2 (4)",K182="2 (2)"),VLOOKUP(K182,BT!$AE$21:$AF$22,2,FALSE),IF(OR(K182="1/0 (4)",K182="1/0 (2)"),VLOOKUP(K182,BT!$AE$24:$AF$25,2,FALSE),IF(OR(K182="4/0 (4)",K182="4/0 (2)",K182="4/0 (1/0)"),VLOOKUP(K182,BT!$AE$27:$AF$29,2,FALSE),IF(OR(K182="336,4 (4)",K182="336,4 (2)",K182="336,4 (1/0)",K182="336,4 (4/0)"),VLOOKUP(K182,BT!$AE$31:$AF$34,2,FALSE),0))))))</f>
        <v/>
      </c>
      <c r="O182" s="48"/>
      <c r="P182" s="309" t="str">
        <f t="shared" si="61"/>
        <v/>
      </c>
      <c r="Q182" s="309" t="str">
        <f>IF(P182="","",SUM($P$45:P182)+$W$115)</f>
        <v/>
      </c>
      <c r="R182" s="309" t="str">
        <f t="shared" si="62"/>
        <v/>
      </c>
      <c r="S182" s="310" t="str">
        <f>IF(OR(M182="a",N182="a"),VLOOKUP("a",'Características dos Cabos'!$D$25:$L$29,9),IF(OR(M182="b",M182="c",N182="b",N182="c"),VLOOKUP("b",'Características dos Cabos'!$D$25:$L$29,9),IF(OR(M182="d",M182="e",N182="d",N182="e"),VLOOKUP("c",'Características dos Cabos'!$D$25:$L$29,9),IF(OR(M182="f",M182="g",M182="h",N182="f",N182="g",N182="h"),VLOOKUP("d",'Características dos Cabos'!$D$25:$L$29,9),IF(OR(M182="i",M182="j",M182="l",M182="m",N182="i",N182="j",N182="l",N182="m"),VLOOKUP("e",'Características dos Cabos'!$D$25:$L$29,9),"")))))</f>
        <v/>
      </c>
      <c r="T182" s="309" t="str">
        <f t="shared" si="63"/>
        <v/>
      </c>
      <c r="U182" s="310" t="str">
        <f>IF(OR(M182="a",N182="a"),VLOOKUP("a",'Características dos Cabos'!$D$25:$L$29,3),IF(OR(M182="b",M182="c",N182="b",N182="c"),VLOOKUP("b",'Características dos Cabos'!$D$25:$L$29,3),IF(OR(M182="d",M182="e",N182="d",N182="e"),VLOOKUP("c",'Características dos Cabos'!$D$25:$L$29,3),IF(OR(M182="f",M182="g",M182="h",N182="f",N182="g",N182="h"),VLOOKUP("d",'Características dos Cabos'!$D$25:$L$29,3),IF(OR(M182="i",M182="j",M182="l",M182="m",N182="i",N182="j",N182="l",N182="m"),VLOOKUP("e",'Características dos Cabos'!$D$25:$L$29,3),"")))))</f>
        <v/>
      </c>
      <c r="V182" s="311" t="str">
        <f t="shared" si="64"/>
        <v/>
      </c>
      <c r="W182" s="284"/>
      <c r="X182" s="298">
        <f t="shared" si="65"/>
        <v>0</v>
      </c>
      <c r="Y182" s="298">
        <f t="shared" si="66"/>
        <v>0</v>
      </c>
      <c r="Z182" s="284"/>
    </row>
    <row r="183" spans="1:26" ht="15" customHeight="1" x14ac:dyDescent="0.25">
      <c r="A183" s="508"/>
      <c r="B183" s="511"/>
      <c r="C183" s="37"/>
      <c r="D183" s="33"/>
      <c r="E183" s="48"/>
      <c r="F183" s="102" t="str">
        <f t="shared" si="45"/>
        <v/>
      </c>
      <c r="G183" s="48"/>
      <c r="H183" s="306" t="str">
        <f>IF(AND(E183="",G183=""),"",SUM(F183:G184))</f>
        <v/>
      </c>
      <c r="J183" s="33"/>
      <c r="K183" s="33"/>
      <c r="L183" s="307" t="str">
        <f>IF(OR(J183="",K183=""),"",IF(J183="3",VLOOKUP(M183,'K% (Rede Convencional)'!$B$18:$M$29,8),(IF(J183="2",VLOOKUP(N183,'K% (Rede Convencional)'!$B$18:$M$29,9),(IF(J183="1",VLOOKUP(N183,'K% (Rede Convencional)'!$B$18:$M$29,10),(IF(J183="13",VLOOKUP(N183,'K% (Rede Convencional)'!$B$18:$M$29,11),(IF(J183="12",VLOOKUP(N183,'K% (Rede Convencional)'!$B$18:$M$29,12),0))))))))))</f>
        <v/>
      </c>
      <c r="M183" s="308" t="str">
        <f t="shared" si="60"/>
        <v/>
      </c>
      <c r="N183" s="308" t="str">
        <f>IF(K183="","",IF(K183="4 (4)","a",IF(OR(K183="2 (4)",K183="2 (2)"),VLOOKUP(K183,BT!$AE$21:$AF$22,2,FALSE),IF(OR(K183="1/0 (4)",K183="1/0 (2)"),VLOOKUP(K183,BT!$AE$24:$AF$25,2,FALSE),IF(OR(K183="4/0 (4)",K183="4/0 (2)",K183="4/0 (1/0)"),VLOOKUP(K183,BT!$AE$27:$AF$29,2,FALSE),IF(OR(K183="336,4 (4)",K183="336,4 (2)",K183="336,4 (1/0)",K183="336,4 (4/0)"),VLOOKUP(K183,BT!$AE$31:$AF$34,2,FALSE),0))))))</f>
        <v/>
      </c>
      <c r="O183" s="48"/>
      <c r="P183" s="309" t="str">
        <f t="shared" si="61"/>
        <v/>
      </c>
      <c r="Q183" s="309" t="str">
        <f>IF(P183="","",SUM($P$45:P183)+$W$115)</f>
        <v/>
      </c>
      <c r="R183" s="309" t="str">
        <f t="shared" si="62"/>
        <v/>
      </c>
      <c r="S183" s="310" t="str">
        <f>IF(OR(M183="a",N183="a"),VLOOKUP("a",'Características dos Cabos'!$D$25:$L$29,9),IF(OR(M183="b",M183="c",N183="b",N183="c"),VLOOKUP("b",'Características dos Cabos'!$D$25:$L$29,9),IF(OR(M183="d",M183="e",N183="d",N183="e"),VLOOKUP("c",'Características dos Cabos'!$D$25:$L$29,9),IF(OR(M183="f",M183="g",M183="h",N183="f",N183="g",N183="h"),VLOOKUP("d",'Características dos Cabos'!$D$25:$L$29,9),IF(OR(M183="i",M183="j",M183="l",M183="m",N183="i",N183="j",N183="l",N183="m"),VLOOKUP("e",'Características dos Cabos'!$D$25:$L$29,9),"")))))</f>
        <v/>
      </c>
      <c r="T183" s="309" t="str">
        <f t="shared" si="63"/>
        <v/>
      </c>
      <c r="U183" s="310" t="str">
        <f>IF(OR(M183="a",N183="a"),VLOOKUP("a",'Características dos Cabos'!$D$25:$L$29,3),IF(OR(M183="b",M183="c",N183="b",N183="c"),VLOOKUP("b",'Características dos Cabos'!$D$25:$L$29,3),IF(OR(M183="d",M183="e",N183="d",N183="e"),VLOOKUP("c",'Características dos Cabos'!$D$25:$L$29,3),IF(OR(M183="f",M183="g",M183="h",N183="f",N183="g",N183="h"),VLOOKUP("d",'Características dos Cabos'!$D$25:$L$29,3),IF(OR(M183="i",M183="j",M183="l",M183="m",N183="i",N183="j",N183="l",N183="m"),VLOOKUP("e",'Características dos Cabos'!$D$25:$L$29,3),"")))))</f>
        <v/>
      </c>
      <c r="V183" s="311" t="str">
        <f t="shared" si="64"/>
        <v/>
      </c>
      <c r="W183" s="284"/>
      <c r="X183" s="298">
        <f t="shared" si="65"/>
        <v>0</v>
      </c>
      <c r="Y183" s="298">
        <f t="shared" si="66"/>
        <v>0</v>
      </c>
      <c r="Z183" s="284"/>
    </row>
    <row r="184" spans="1:26" ht="15" customHeight="1" thickBot="1" x14ac:dyDescent="0.3">
      <c r="A184" s="508"/>
      <c r="B184" s="512"/>
      <c r="C184" s="38"/>
      <c r="D184" s="34"/>
      <c r="E184" s="49"/>
      <c r="F184" s="64" t="str">
        <f t="shared" si="45"/>
        <v/>
      </c>
      <c r="G184" s="49"/>
      <c r="H184" s="328" t="str">
        <f>IF(AND(E184="",G184=""),"",SUM(F184:G184))</f>
        <v/>
      </c>
      <c r="J184" s="34"/>
      <c r="K184" s="34"/>
      <c r="L184" s="329" t="str">
        <f>IF(OR(J184="",K184=""),"",IF(J184="3",VLOOKUP(M184,'K% (Rede Convencional)'!$B$18:$M$29,8),(IF(J184="2",VLOOKUP(N184,'K% (Rede Convencional)'!$B$18:$M$29,9),(IF(J184="1",VLOOKUP(N184,'K% (Rede Convencional)'!$B$18:$M$29,10),(IF(J184="13",VLOOKUP(N184,'K% (Rede Convencional)'!$B$18:$M$29,11),(IF(J184="12",VLOOKUP(N184,'K% (Rede Convencional)'!$B$18:$M$29,12),0))))))))))</f>
        <v/>
      </c>
      <c r="M184" s="330" t="str">
        <f t="shared" si="60"/>
        <v/>
      </c>
      <c r="N184" s="330" t="str">
        <f>IF(K184="","",IF(K184="4 (4)","a",IF(OR(K184="2 (4)",K184="2 (2)"),VLOOKUP(K184,BT!$AE$21:$AF$22,2,FALSE),IF(OR(K184="1/0 (4)",K184="1/0 (2)"),VLOOKUP(K184,BT!$AE$24:$AF$25,2,FALSE),IF(OR(K184="4/0 (4)",K184="4/0 (2)",K184="4/0 (1/0)"),VLOOKUP(K184,BT!$AE$27:$AF$29,2,FALSE),IF(OR(K184="336,4 (4)",K184="336,4 (2)",K184="336,4 (1/0)",K184="336,4 (4/0)"),VLOOKUP(K184,BT!$AE$31:$AF$34,2,FALSE),0))))))</f>
        <v/>
      </c>
      <c r="O184" s="49"/>
      <c r="P184" s="331" t="str">
        <f t="shared" si="61"/>
        <v/>
      </c>
      <c r="Q184" s="331" t="str">
        <f>IF(P184="","",SUM($P$45:P184)+$W$115)</f>
        <v/>
      </c>
      <c r="R184" s="331" t="str">
        <f t="shared" si="62"/>
        <v/>
      </c>
      <c r="S184" s="332" t="str">
        <f>IF(N184="a",VLOOKUP("a",#REF!,9),IF(OR(N184="b",N184="c"),VLOOKUP("b",#REF!,9),IF(OR(N184="d",N184="e"),VLOOKUP("c",#REF!,9),IF(OR(N184="f",N184="g",N184="h"),VLOOKUP("d",#REF!,9),IF(OR(N184="i",N184="j",N184="l",N184="m"),VLOOKUP("e",#REF!,9),"")))))</f>
        <v/>
      </c>
      <c r="T184" s="331" t="str">
        <f t="shared" si="63"/>
        <v/>
      </c>
      <c r="U184" s="332" t="str">
        <f>IF(OR(M184="a",N184="a"),VLOOKUP("a",'Características dos Cabos'!$D$25:$L$29,3),IF(OR(M184="b",M184="c",N184="b",N184="c"),VLOOKUP("b",'Características dos Cabos'!$D$25:$L$29,3),IF(OR(M184="d",M184="e",N184="d",N184="e"),VLOOKUP("c",'Características dos Cabos'!$D$25:$L$29,3),IF(OR(M184="f",M184="g",M184="h",N184="f",N184="g",N184="h"),VLOOKUP("d",'Características dos Cabos'!$D$25:$L$29,3),IF(OR(M184="i",M184="j",M184="l",M184="m",N184="i",N184="j",N184="l",N184="m"),VLOOKUP("e",'Características dos Cabos'!$D$25:$L$29,3),"")))))</f>
        <v/>
      </c>
      <c r="V184" s="333" t="str">
        <f t="shared" si="64"/>
        <v/>
      </c>
      <c r="W184" s="284"/>
      <c r="X184" s="298">
        <f t="shared" si="65"/>
        <v>0</v>
      </c>
      <c r="Y184" s="298">
        <f t="shared" si="66"/>
        <v>0</v>
      </c>
      <c r="Z184" s="284"/>
    </row>
    <row r="185" spans="1:26" ht="15" customHeight="1" thickTop="1" x14ac:dyDescent="0.25">
      <c r="A185" s="508"/>
      <c r="B185" s="510" t="str">
        <f>CONCATENATE("Ramal 15 - Derivando no ponto ",C185)</f>
        <v xml:space="preserve">Ramal 15 - Derivando no ponto </v>
      </c>
      <c r="C185" s="36"/>
      <c r="D185" s="35"/>
      <c r="E185" s="47"/>
      <c r="F185" s="102" t="str">
        <f t="shared" si="45"/>
        <v/>
      </c>
      <c r="G185" s="47"/>
      <c r="H185" s="320" t="str">
        <f>IF(AND(E185="",G185=""),"",SUM(F185:G194))</f>
        <v/>
      </c>
      <c r="J185" s="35"/>
      <c r="K185" s="35"/>
      <c r="L185" s="321" t="str">
        <f>IF(OR(J185="",K185=""),"",IF(J185="3",VLOOKUP(M185,'K% (Rede Convencional)'!$B$18:$M$29,8),(IF(J185="2",VLOOKUP(N185,'K% (Rede Convencional)'!$B$18:$M$29,9),(IF(J185="1",VLOOKUP(N185,'K% (Rede Convencional)'!$B$18:$M$29,10),(IF(J185="13",VLOOKUP(N185,'K% (Rede Convencional)'!$B$18:$M$29,11),(IF(J185="12",VLOOKUP(N185,'K% (Rede Convencional)'!$B$18:$M$29,12),0))))))))))</f>
        <v/>
      </c>
      <c r="M185" s="294" t="str">
        <f t="shared" ref="M185:M194" si="67">IF(K185="4","a",IF(K185="2","b",IF(K185="1/0","d",IF(K185="4/0","f",IF(K185="336,4","i","")))))</f>
        <v/>
      </c>
      <c r="N185" s="294" t="str">
        <f>IF(K185="","",IF(K185="4 (4)","a",IF(OR(K185="2 (4)",K185="2 (2)"),VLOOKUP(K185,BT!$AE$21:$AF$22,2,FALSE),IF(OR(K185="1/0 (4)",K185="1/0 (2)"),VLOOKUP(K185,BT!$AE$24:$AF$25,2,FALSE),IF(OR(K185="4/0 (4)",K185="4/0 (2)",K185="4/0 (1/0)"),VLOOKUP(K185,BT!$AE$27:$AF$29,2,FALSE),IF(OR(K185="336,4 (4)",K185="336,4 (2)",K185="336,4 (1/0)",K185="336,4 (4/0)"),VLOOKUP(K185,BT!$AE$31:$AF$34,2,FALSE),0))))))</f>
        <v/>
      </c>
      <c r="O185" s="47"/>
      <c r="P185" s="322" t="str">
        <f t="shared" ref="P185:P194" si="68">IF(OR(H185="",L185="",O185=""),"",L185*H185*O185)</f>
        <v/>
      </c>
      <c r="Q185" s="322" t="str">
        <f>IF(P185="","",P185+VLOOKUP(C185,$D$21:$Q$43,13,FALSE))</f>
        <v/>
      </c>
      <c r="R185" s="322" t="str">
        <f t="shared" ref="R185:R194" si="69">IF(H185="","",IF(J185="3",H185*1000/($D$14*SQRT(3)),IF(J185="2",H185*1000*SQRT(3)/($D$14*2),IF(J185="1",H185*1000*SQRT(3)/$D$14,IF(J185="13",H185*1000/$D$16,IF(J185="12",H185*1000*2/$D$16,"erro"))))))</f>
        <v/>
      </c>
      <c r="S185" s="323" t="str">
        <f>IF(OR(M185="a",N185="a"),VLOOKUP("a",'Características dos Cabos'!$D$25:$L$29,9),IF(OR(M185="b",M185="c",N185="b",N185="c"),VLOOKUP("b",'Características dos Cabos'!$D$25:$L$29,9),IF(OR(M185="d",M185="e",N185="d",N185="e"),VLOOKUP("c",'Características dos Cabos'!$D$25:$L$29,9),IF(OR(M185="f",M185="g",M185="h",N185="f",N185="g",N185="h"),VLOOKUP("d",'Características dos Cabos'!$D$25:$L$29,9),IF(OR(M185="i",M185="j",M185="l",M185="m",N185="i",N185="j",N185="l",N185="m"),VLOOKUP("e",'Características dos Cabos'!$D$25:$L$29,9),"")))))</f>
        <v/>
      </c>
      <c r="T185" s="322" t="str">
        <f t="shared" ref="T185:T194" si="70">IF(S185="","",R185*100/S185)</f>
        <v/>
      </c>
      <c r="U185" s="323" t="str">
        <f>IF(OR(M185="a",N185="a"),VLOOKUP("a",'Características dos Cabos'!$D$25:$L$29,3),IF(OR(M185="b",M185="c",N185="b",N185="c"),VLOOKUP("b",'Características dos Cabos'!$D$25:$L$29,3),IF(OR(M185="d",M185="e",N185="d",N185="e"),VLOOKUP("c",'Características dos Cabos'!$D$25:$L$29,3),IF(OR(M185="f",M185="g",M185="h",N185="f",N185="g",N185="h"),VLOOKUP("d",'Características dos Cabos'!$D$25:$L$29,3),IF(OR(M185="i",M185="j",M185="l",M185="m",N185="i",N185="j",N185="l",N185="m"),VLOOKUP("e",'Características dos Cabos'!$D$25:$L$29,3),"")))))</f>
        <v/>
      </c>
      <c r="V185" s="324" t="str">
        <f t="shared" ref="V185:V194" si="71">IF(OR(O185="",$G$16="",H185="",N185=""),"",IF(J185="3",3*$L$12*U185*O185/1000*R185^2*8.76,IF(OR(J185="2",J185="13"),2*$L$12*U185*O185/1000*R185^2*8.76,IF(OR(J185="1",J185="12"),$L$12*U185*O185/1000*R185^2*8.76))))</f>
        <v/>
      </c>
      <c r="W185" s="343" t="e">
        <f>VLOOKUP(C185,$D$21:$Q$43,12,FALSE)</f>
        <v>#N/A</v>
      </c>
      <c r="X185" s="298">
        <f t="shared" ref="X185:X194" si="72">D185</f>
        <v>0</v>
      </c>
      <c r="Y185" s="298">
        <f t="shared" ref="Y185:Y194" si="73">K185</f>
        <v>0</v>
      </c>
      <c r="Z185" s="284"/>
    </row>
    <row r="186" spans="1:26" ht="15" customHeight="1" x14ac:dyDescent="0.25">
      <c r="A186" s="508"/>
      <c r="B186" s="511"/>
      <c r="C186" s="37"/>
      <c r="D186" s="33"/>
      <c r="E186" s="48"/>
      <c r="F186" s="102" t="str">
        <f t="shared" si="45"/>
        <v/>
      </c>
      <c r="G186" s="48"/>
      <c r="H186" s="306" t="str">
        <f>IF(AND(E186="",G186=""),"",SUM(F186:G194))</f>
        <v/>
      </c>
      <c r="J186" s="33"/>
      <c r="K186" s="33"/>
      <c r="L186" s="307" t="str">
        <f>IF(OR(J186="",K186=""),"",IF(J186="3",VLOOKUP(M186,'K% (Rede Convencional)'!$B$18:$M$29,8),(IF(J186="2",VLOOKUP(N186,'K% (Rede Convencional)'!$B$18:$M$29,9),(IF(J186="1",VLOOKUP(N186,'K% (Rede Convencional)'!$B$18:$M$29,10),(IF(J186="13",VLOOKUP(N186,'K% (Rede Convencional)'!$B$18:$M$29,11),(IF(J186="12",VLOOKUP(N186,'K% (Rede Convencional)'!$B$18:$M$29,12),0))))))))))</f>
        <v/>
      </c>
      <c r="M186" s="308" t="str">
        <f t="shared" si="67"/>
        <v/>
      </c>
      <c r="N186" s="308" t="str">
        <f>IF(K186="","",IF(K186="4 (4)","a",IF(OR(K186="2 (4)",K186="2 (2)"),VLOOKUP(K186,BT!$AE$21:$AF$22,2,FALSE),IF(OR(K186="1/0 (4)",K186="1/0 (2)"),VLOOKUP(K186,BT!$AE$24:$AF$25,2,FALSE),IF(OR(K186="4/0 (4)",K186="4/0 (2)",K186="4/0 (1/0)"),VLOOKUP(K186,BT!$AE$27:$AF$29,2,FALSE),IF(OR(K186="336,4 (4)",K186="336,4 (2)",K186="336,4 (1/0)",K186="336,4 (4/0)"),VLOOKUP(K186,BT!$AE$31:$AF$34,2,FALSE),0))))))</f>
        <v/>
      </c>
      <c r="O186" s="48"/>
      <c r="P186" s="309" t="str">
        <f t="shared" si="68"/>
        <v/>
      </c>
      <c r="Q186" s="309" t="str">
        <f>IF(P186="","",SUM($P$45:P186)+$W$115)</f>
        <v/>
      </c>
      <c r="R186" s="309" t="str">
        <f t="shared" si="69"/>
        <v/>
      </c>
      <c r="S186" s="310" t="str">
        <f>IF(OR(M186="a",N186="a"),VLOOKUP("a",'Características dos Cabos'!$D$25:$L$29,9),IF(OR(M186="b",M186="c",N186="b",N186="c"),VLOOKUP("b",'Características dos Cabos'!$D$25:$L$29,9),IF(OR(M186="d",M186="e",N186="d",N186="e"),VLOOKUP("c",'Características dos Cabos'!$D$25:$L$29,9),IF(OR(M186="f",M186="g",M186="h",N186="f",N186="g",N186="h"),VLOOKUP("d",'Características dos Cabos'!$D$25:$L$29,9),IF(OR(M186="i",M186="j",M186="l",M186="m",N186="i",N186="j",N186="l",N186="m"),VLOOKUP("e",'Características dos Cabos'!$D$25:$L$29,9),"")))))</f>
        <v/>
      </c>
      <c r="T186" s="309" t="str">
        <f t="shared" si="70"/>
        <v/>
      </c>
      <c r="U186" s="310" t="str">
        <f>IF(OR(M186="a",N186="a"),VLOOKUP("a",'Características dos Cabos'!$D$25:$L$29,3),IF(OR(M186="b",M186="c",N186="b",N186="c"),VLOOKUP("b",'Características dos Cabos'!$D$25:$L$29,3),IF(OR(M186="d",M186="e",N186="d",N186="e"),VLOOKUP("c",'Características dos Cabos'!$D$25:$L$29,3),IF(OR(M186="f",M186="g",M186="h",N186="f",N186="g",N186="h"),VLOOKUP("d",'Características dos Cabos'!$D$25:$L$29,3),IF(OR(M186="i",M186="j",M186="l",M186="m",N186="i",N186="j",N186="l",N186="m"),VLOOKUP("e",'Características dos Cabos'!$D$25:$L$29,3),"")))))</f>
        <v/>
      </c>
      <c r="V186" s="311" t="str">
        <f t="shared" si="71"/>
        <v/>
      </c>
      <c r="W186" s="284"/>
      <c r="X186" s="298">
        <f t="shared" si="72"/>
        <v>0</v>
      </c>
      <c r="Y186" s="298">
        <f t="shared" si="73"/>
        <v>0</v>
      </c>
      <c r="Z186" s="284"/>
    </row>
    <row r="187" spans="1:26" ht="15" customHeight="1" x14ac:dyDescent="0.25">
      <c r="A187" s="508"/>
      <c r="B187" s="511"/>
      <c r="C187" s="37"/>
      <c r="D187" s="33"/>
      <c r="E187" s="48"/>
      <c r="F187" s="102" t="str">
        <f t="shared" si="45"/>
        <v/>
      </c>
      <c r="G187" s="48"/>
      <c r="H187" s="306" t="str">
        <f>IF(AND(E187="",G187=""),"",SUM(F187:G194))</f>
        <v/>
      </c>
      <c r="J187" s="33"/>
      <c r="K187" s="33"/>
      <c r="L187" s="307" t="str">
        <f>IF(OR(J187="",K187=""),"",IF(J187="3",VLOOKUP(M187,'K% (Rede Convencional)'!$B$18:$M$29,8),(IF(J187="2",VLOOKUP(N187,'K% (Rede Convencional)'!$B$18:$M$29,9),(IF(J187="1",VLOOKUP(N187,'K% (Rede Convencional)'!$B$18:$M$29,10),(IF(J187="13",VLOOKUP(N187,'K% (Rede Convencional)'!$B$18:$M$29,11),(IF(J187="12",VLOOKUP(N187,'K% (Rede Convencional)'!$B$18:$M$29,12),0))))))))))</f>
        <v/>
      </c>
      <c r="M187" s="308" t="str">
        <f t="shared" si="67"/>
        <v/>
      </c>
      <c r="N187" s="308" t="str">
        <f>IF(K187="","",IF(K187="4 (4)","a",IF(OR(K187="2 (4)",K187="2 (2)"),VLOOKUP(K187,BT!$AE$21:$AF$22,2,FALSE),IF(OR(K187="1/0 (4)",K187="1/0 (2)"),VLOOKUP(K187,BT!$AE$24:$AF$25,2,FALSE),IF(OR(K187="4/0 (4)",K187="4/0 (2)",K187="4/0 (1/0)"),VLOOKUP(K187,BT!$AE$27:$AF$29,2,FALSE),IF(OR(K187="336,4 (4)",K187="336,4 (2)",K187="336,4 (1/0)",K187="336,4 (4/0)"),VLOOKUP(K187,BT!$AE$31:$AF$34,2,FALSE),0))))))</f>
        <v/>
      </c>
      <c r="O187" s="48"/>
      <c r="P187" s="309" t="str">
        <f t="shared" si="68"/>
        <v/>
      </c>
      <c r="Q187" s="309" t="str">
        <f>IF(P187="","",SUM($P$45:P187)+$W$115)</f>
        <v/>
      </c>
      <c r="R187" s="309" t="str">
        <f t="shared" si="69"/>
        <v/>
      </c>
      <c r="S187" s="310" t="str">
        <f>IF(OR(M187="a",N187="a"),VLOOKUP("a",'Características dos Cabos'!$D$25:$L$29,9),IF(OR(M187="b",M187="c",N187="b",N187="c"),VLOOKUP("b",'Características dos Cabos'!$D$25:$L$29,9),IF(OR(M187="d",M187="e",N187="d",N187="e"),VLOOKUP("c",'Características dos Cabos'!$D$25:$L$29,9),IF(OR(M187="f",M187="g",M187="h",N187="f",N187="g",N187="h"),VLOOKUP("d",'Características dos Cabos'!$D$25:$L$29,9),IF(OR(M187="i",M187="j",M187="l",M187="m",N187="i",N187="j",N187="l",N187="m"),VLOOKUP("e",'Características dos Cabos'!$D$25:$L$29,9),"")))))</f>
        <v/>
      </c>
      <c r="T187" s="309" t="str">
        <f t="shared" si="70"/>
        <v/>
      </c>
      <c r="U187" s="310" t="str">
        <f>IF(OR(M187="a",N187="a"),VLOOKUP("a",'Características dos Cabos'!$D$25:$L$29,3),IF(OR(M187="b",M187="c",N187="b",N187="c"),VLOOKUP("b",'Características dos Cabos'!$D$25:$L$29,3),IF(OR(M187="d",M187="e",N187="d",N187="e"),VLOOKUP("c",'Características dos Cabos'!$D$25:$L$29,3),IF(OR(M187="f",M187="g",M187="h",N187="f",N187="g",N187="h"),VLOOKUP("d",'Características dos Cabos'!$D$25:$L$29,3),IF(OR(M187="i",M187="j",M187="l",M187="m",N187="i",N187="j",N187="l",N187="m"),VLOOKUP("e",'Características dos Cabos'!$D$25:$L$29,3),"")))))</f>
        <v/>
      </c>
      <c r="V187" s="311" t="str">
        <f t="shared" si="71"/>
        <v/>
      </c>
      <c r="W187" s="284"/>
      <c r="X187" s="298">
        <f t="shared" si="72"/>
        <v>0</v>
      </c>
      <c r="Y187" s="298">
        <f t="shared" si="73"/>
        <v>0</v>
      </c>
      <c r="Z187" s="284"/>
    </row>
    <row r="188" spans="1:26" ht="15" customHeight="1" x14ac:dyDescent="0.25">
      <c r="A188" s="508"/>
      <c r="B188" s="511"/>
      <c r="C188" s="37"/>
      <c r="D188" s="33"/>
      <c r="E188" s="48"/>
      <c r="F188" s="102" t="str">
        <f t="shared" si="45"/>
        <v/>
      </c>
      <c r="G188" s="48"/>
      <c r="H188" s="306" t="str">
        <f>IF(AND(E188="",G188=""),"",SUM(F188:G194))</f>
        <v/>
      </c>
      <c r="J188" s="33"/>
      <c r="K188" s="33"/>
      <c r="L188" s="307" t="str">
        <f>IF(OR(J188="",K188=""),"",IF(J188="3",VLOOKUP(M188,'K% (Rede Convencional)'!$B$18:$M$29,8),(IF(J188="2",VLOOKUP(N188,'K% (Rede Convencional)'!$B$18:$M$29,9),(IF(J188="1",VLOOKUP(N188,'K% (Rede Convencional)'!$B$18:$M$29,10),(IF(J188="13",VLOOKUP(N188,'K% (Rede Convencional)'!$B$18:$M$29,11),(IF(J188="12",VLOOKUP(N188,'K% (Rede Convencional)'!$B$18:$M$29,12),0))))))))))</f>
        <v/>
      </c>
      <c r="M188" s="308" t="str">
        <f t="shared" si="67"/>
        <v/>
      </c>
      <c r="N188" s="308" t="str">
        <f>IF(K188="","",IF(K188="4 (4)","a",IF(OR(K188="2 (4)",K188="2 (2)"),VLOOKUP(K188,BT!$AE$21:$AF$22,2,FALSE),IF(OR(K188="1/0 (4)",K188="1/0 (2)"),VLOOKUP(K188,BT!$AE$24:$AF$25,2,FALSE),IF(OR(K188="4/0 (4)",K188="4/0 (2)",K188="4/0 (1/0)"),VLOOKUP(K188,BT!$AE$27:$AF$29,2,FALSE),IF(OR(K188="336,4 (4)",K188="336,4 (2)",K188="336,4 (1/0)",K188="336,4 (4/0)"),VLOOKUP(K188,BT!$AE$31:$AF$34,2,FALSE),0))))))</f>
        <v/>
      </c>
      <c r="O188" s="48"/>
      <c r="P188" s="309" t="str">
        <f t="shared" si="68"/>
        <v/>
      </c>
      <c r="Q188" s="309" t="str">
        <f>IF(P188="","",SUM($P$45:P188)+$W$115)</f>
        <v/>
      </c>
      <c r="R188" s="309" t="str">
        <f t="shared" si="69"/>
        <v/>
      </c>
      <c r="S188" s="310" t="str">
        <f>IF(OR(M188="a",N188="a"),VLOOKUP("a",'Características dos Cabos'!$D$25:$L$29,9),IF(OR(M188="b",M188="c",N188="b",N188="c"),VLOOKUP("b",'Características dos Cabos'!$D$25:$L$29,9),IF(OR(M188="d",M188="e",N188="d",N188="e"),VLOOKUP("c",'Características dos Cabos'!$D$25:$L$29,9),IF(OR(M188="f",M188="g",M188="h",N188="f",N188="g",N188="h"),VLOOKUP("d",'Características dos Cabos'!$D$25:$L$29,9),IF(OR(M188="i",M188="j",M188="l",M188="m",N188="i",N188="j",N188="l",N188="m"),VLOOKUP("e",'Características dos Cabos'!$D$25:$L$29,9),"")))))</f>
        <v/>
      </c>
      <c r="T188" s="309" t="str">
        <f t="shared" si="70"/>
        <v/>
      </c>
      <c r="U188" s="310" t="str">
        <f>IF(OR(M188="a",N188="a"),VLOOKUP("a",'Características dos Cabos'!$D$25:$L$29,3),IF(OR(M188="b",M188="c",N188="b",N188="c"),VLOOKUP("b",'Características dos Cabos'!$D$25:$L$29,3),IF(OR(M188="d",M188="e",N188="d",N188="e"),VLOOKUP("c",'Características dos Cabos'!$D$25:$L$29,3),IF(OR(M188="f",M188="g",M188="h",N188="f",N188="g",N188="h"),VLOOKUP("d",'Características dos Cabos'!$D$25:$L$29,3),IF(OR(M188="i",M188="j",M188="l",M188="m",N188="i",N188="j",N188="l",N188="m"),VLOOKUP("e",'Características dos Cabos'!$D$25:$L$29,3),"")))))</f>
        <v/>
      </c>
      <c r="V188" s="311" t="str">
        <f t="shared" si="71"/>
        <v/>
      </c>
      <c r="W188" s="284"/>
      <c r="X188" s="298">
        <f t="shared" si="72"/>
        <v>0</v>
      </c>
      <c r="Y188" s="298">
        <f t="shared" si="73"/>
        <v>0</v>
      </c>
      <c r="Z188" s="284"/>
    </row>
    <row r="189" spans="1:26" ht="15" customHeight="1" x14ac:dyDescent="0.25">
      <c r="A189" s="508"/>
      <c r="B189" s="511"/>
      <c r="C189" s="37"/>
      <c r="D189" s="33"/>
      <c r="E189" s="48"/>
      <c r="F189" s="102" t="str">
        <f t="shared" si="45"/>
        <v/>
      </c>
      <c r="G189" s="48"/>
      <c r="H189" s="306" t="str">
        <f>IF(AND(E189="",G189=""),"",SUM(F189:G194))</f>
        <v/>
      </c>
      <c r="J189" s="33"/>
      <c r="K189" s="33"/>
      <c r="L189" s="307" t="str">
        <f>IF(OR(J189="",K189=""),"",IF(J189="3",VLOOKUP(M189,'K% (Rede Convencional)'!$B$18:$M$29,8),(IF(J189="2",VLOOKUP(N189,'K% (Rede Convencional)'!$B$18:$M$29,9),(IF(J189="1",VLOOKUP(N189,'K% (Rede Convencional)'!$B$18:$M$29,10),(IF(J189="13",VLOOKUP(N189,'K% (Rede Convencional)'!$B$18:$M$29,11),(IF(J189="12",VLOOKUP(N189,'K% (Rede Convencional)'!$B$18:$M$29,12),0))))))))))</f>
        <v/>
      </c>
      <c r="M189" s="308" t="str">
        <f t="shared" si="67"/>
        <v/>
      </c>
      <c r="N189" s="308" t="str">
        <f>IF(K189="","",IF(K189="4 (4)","a",IF(OR(K189="2 (4)",K189="2 (2)"),VLOOKUP(K189,BT!$AE$21:$AF$22,2,FALSE),IF(OR(K189="1/0 (4)",K189="1/0 (2)"),VLOOKUP(K189,BT!$AE$24:$AF$25,2,FALSE),IF(OR(K189="4/0 (4)",K189="4/0 (2)",K189="4/0 (1/0)"),VLOOKUP(K189,BT!$AE$27:$AF$29,2,FALSE),IF(OR(K189="336,4 (4)",K189="336,4 (2)",K189="336,4 (1/0)",K189="336,4 (4/0)"),VLOOKUP(K189,BT!$AE$31:$AF$34,2,FALSE),0))))))</f>
        <v/>
      </c>
      <c r="O189" s="48"/>
      <c r="P189" s="309" t="str">
        <f t="shared" si="68"/>
        <v/>
      </c>
      <c r="Q189" s="309" t="str">
        <f>IF(P189="","",SUM($P$45:P189)+$W$115)</f>
        <v/>
      </c>
      <c r="R189" s="309" t="str">
        <f t="shared" si="69"/>
        <v/>
      </c>
      <c r="S189" s="310" t="str">
        <f>IF(OR(M189="a",N189="a"),VLOOKUP("a",'Características dos Cabos'!$D$25:$L$29,9),IF(OR(M189="b",M189="c",N189="b",N189="c"),VLOOKUP("b",'Características dos Cabos'!$D$25:$L$29,9),IF(OR(M189="d",M189="e",N189="d",N189="e"),VLOOKUP("c",'Características dos Cabos'!$D$25:$L$29,9),IF(OR(M189="f",M189="g",M189="h",N189="f",N189="g",N189="h"),VLOOKUP("d",'Características dos Cabos'!$D$25:$L$29,9),IF(OR(M189="i",M189="j",M189="l",M189="m",N189="i",N189="j",N189="l",N189="m"),VLOOKUP("e",'Características dos Cabos'!$D$25:$L$29,9),"")))))</f>
        <v/>
      </c>
      <c r="T189" s="309" t="str">
        <f t="shared" si="70"/>
        <v/>
      </c>
      <c r="U189" s="310" t="str">
        <f>IF(OR(M189="a",N189="a"),VLOOKUP("a",'Características dos Cabos'!$D$25:$L$29,3),IF(OR(M189="b",M189="c",N189="b",N189="c"),VLOOKUP("b",'Características dos Cabos'!$D$25:$L$29,3),IF(OR(M189="d",M189="e",N189="d",N189="e"),VLOOKUP("c",'Características dos Cabos'!$D$25:$L$29,3),IF(OR(M189="f",M189="g",M189="h",N189="f",N189="g",N189="h"),VLOOKUP("d",'Características dos Cabos'!$D$25:$L$29,3),IF(OR(M189="i",M189="j",M189="l",M189="m",N189="i",N189="j",N189="l",N189="m"),VLOOKUP("e",'Características dos Cabos'!$D$25:$L$29,3),"")))))</f>
        <v/>
      </c>
      <c r="V189" s="311" t="str">
        <f t="shared" si="71"/>
        <v/>
      </c>
      <c r="W189" s="284"/>
      <c r="X189" s="298">
        <f t="shared" si="72"/>
        <v>0</v>
      </c>
      <c r="Y189" s="298">
        <f t="shared" si="73"/>
        <v>0</v>
      </c>
      <c r="Z189" s="284"/>
    </row>
    <row r="190" spans="1:26" ht="15" customHeight="1" x14ac:dyDescent="0.25">
      <c r="A190" s="508"/>
      <c r="B190" s="511"/>
      <c r="C190" s="37"/>
      <c r="D190" s="33"/>
      <c r="E190" s="48"/>
      <c r="F190" s="102" t="str">
        <f t="shared" si="45"/>
        <v/>
      </c>
      <c r="G190" s="48"/>
      <c r="H190" s="306" t="str">
        <f>IF(AND(E190="",G190=""),"",SUM(F190:G194))</f>
        <v/>
      </c>
      <c r="J190" s="33"/>
      <c r="K190" s="33"/>
      <c r="L190" s="307" t="str">
        <f>IF(OR(J190="",K190=""),"",IF(J190="3",VLOOKUP(M190,'K% (Rede Convencional)'!$B$18:$M$29,8),(IF(J190="2",VLOOKUP(N190,'K% (Rede Convencional)'!$B$18:$M$29,9),(IF(J190="1",VLOOKUP(N190,'K% (Rede Convencional)'!$B$18:$M$29,10),(IF(J190="13",VLOOKUP(N190,'K% (Rede Convencional)'!$B$18:$M$29,11),(IF(J190="12",VLOOKUP(N190,'K% (Rede Convencional)'!$B$18:$M$29,12),0))))))))))</f>
        <v/>
      </c>
      <c r="M190" s="308" t="str">
        <f t="shared" si="67"/>
        <v/>
      </c>
      <c r="N190" s="308" t="str">
        <f>IF(K190="","",IF(K190="4 (4)","a",IF(OR(K190="2 (4)",K190="2 (2)"),VLOOKUP(K190,BT!$AE$21:$AF$22,2,FALSE),IF(OR(K190="1/0 (4)",K190="1/0 (2)"),VLOOKUP(K190,BT!$AE$24:$AF$25,2,FALSE),IF(OR(K190="4/0 (4)",K190="4/0 (2)",K190="4/0 (1/0)"),VLOOKUP(K190,BT!$AE$27:$AF$29,2,FALSE),IF(OR(K190="336,4 (4)",K190="336,4 (2)",K190="336,4 (1/0)",K190="336,4 (4/0)"),VLOOKUP(K190,BT!$AE$31:$AF$34,2,FALSE),0))))))</f>
        <v/>
      </c>
      <c r="O190" s="48"/>
      <c r="P190" s="309" t="str">
        <f t="shared" si="68"/>
        <v/>
      </c>
      <c r="Q190" s="309" t="str">
        <f>IF(P190="","",SUM($P$45:P190)+$W$115)</f>
        <v/>
      </c>
      <c r="R190" s="309" t="str">
        <f t="shared" si="69"/>
        <v/>
      </c>
      <c r="S190" s="310" t="str">
        <f>IF(OR(M190="a",N190="a"),VLOOKUP("a",'Características dos Cabos'!$D$25:$L$29,9),IF(OR(M190="b",M190="c",N190="b",N190="c"),VLOOKUP("b",'Características dos Cabos'!$D$25:$L$29,9),IF(OR(M190="d",M190="e",N190="d",N190="e"),VLOOKUP("c",'Características dos Cabos'!$D$25:$L$29,9),IF(OR(M190="f",M190="g",M190="h",N190="f",N190="g",N190="h"),VLOOKUP("d",'Características dos Cabos'!$D$25:$L$29,9),IF(OR(M190="i",M190="j",M190="l",M190="m",N190="i",N190="j",N190="l",N190="m"),VLOOKUP("e",'Características dos Cabos'!$D$25:$L$29,9),"")))))</f>
        <v/>
      </c>
      <c r="T190" s="309" t="str">
        <f t="shared" si="70"/>
        <v/>
      </c>
      <c r="U190" s="310" t="str">
        <f>IF(OR(M190="a",N190="a"),VLOOKUP("a",'Características dos Cabos'!$D$25:$L$29,3),IF(OR(M190="b",M190="c",N190="b",N190="c"),VLOOKUP("b",'Características dos Cabos'!$D$25:$L$29,3),IF(OR(M190="d",M190="e",N190="d",N190="e"),VLOOKUP("c",'Características dos Cabos'!$D$25:$L$29,3),IF(OR(M190="f",M190="g",M190="h",N190="f",N190="g",N190="h"),VLOOKUP("d",'Características dos Cabos'!$D$25:$L$29,3),IF(OR(M190="i",M190="j",M190="l",M190="m",N190="i",N190="j",N190="l",N190="m"),VLOOKUP("e",'Características dos Cabos'!$D$25:$L$29,3),"")))))</f>
        <v/>
      </c>
      <c r="V190" s="311" t="str">
        <f t="shared" si="71"/>
        <v/>
      </c>
      <c r="W190" s="284"/>
      <c r="X190" s="298">
        <f t="shared" si="72"/>
        <v>0</v>
      </c>
      <c r="Y190" s="298">
        <f t="shared" si="73"/>
        <v>0</v>
      </c>
      <c r="Z190" s="284"/>
    </row>
    <row r="191" spans="1:26" ht="15" customHeight="1" x14ac:dyDescent="0.25">
      <c r="A191" s="508"/>
      <c r="B191" s="511"/>
      <c r="C191" s="37"/>
      <c r="D191" s="33"/>
      <c r="E191" s="48"/>
      <c r="F191" s="102" t="str">
        <f t="shared" si="45"/>
        <v/>
      </c>
      <c r="G191" s="48"/>
      <c r="H191" s="306" t="str">
        <f>IF(AND(E191="",G191=""),"",SUM(F191:G194))</f>
        <v/>
      </c>
      <c r="J191" s="33"/>
      <c r="K191" s="33"/>
      <c r="L191" s="307" t="str">
        <f>IF(OR(J191="",K191=""),"",IF(J191="3",VLOOKUP(M191,'K% (Rede Convencional)'!$B$18:$M$29,8),(IF(J191="2",VLOOKUP(N191,'K% (Rede Convencional)'!$B$18:$M$29,9),(IF(J191="1",VLOOKUP(N191,'K% (Rede Convencional)'!$B$18:$M$29,10),(IF(J191="13",VLOOKUP(N191,'K% (Rede Convencional)'!$B$18:$M$29,11),(IF(J191="12",VLOOKUP(N191,'K% (Rede Convencional)'!$B$18:$M$29,12),0))))))))))</f>
        <v/>
      </c>
      <c r="M191" s="308" t="str">
        <f t="shared" si="67"/>
        <v/>
      </c>
      <c r="N191" s="308" t="str">
        <f>IF(K191="","",IF(K191="4 (4)","a",IF(OR(K191="2 (4)",K191="2 (2)"),VLOOKUP(K191,BT!$AE$21:$AF$22,2,FALSE),IF(OR(K191="1/0 (4)",K191="1/0 (2)"),VLOOKUP(K191,BT!$AE$24:$AF$25,2,FALSE),IF(OR(K191="4/0 (4)",K191="4/0 (2)",K191="4/0 (1/0)"),VLOOKUP(K191,BT!$AE$27:$AF$29,2,FALSE),IF(OR(K191="336,4 (4)",K191="336,4 (2)",K191="336,4 (1/0)",K191="336,4 (4/0)"),VLOOKUP(K191,BT!$AE$31:$AF$34,2,FALSE),0))))))</f>
        <v/>
      </c>
      <c r="O191" s="48"/>
      <c r="P191" s="309" t="str">
        <f t="shared" si="68"/>
        <v/>
      </c>
      <c r="Q191" s="309" t="str">
        <f>IF(P191="","",SUM($P$45:P191)+$W$115)</f>
        <v/>
      </c>
      <c r="R191" s="309" t="str">
        <f t="shared" si="69"/>
        <v/>
      </c>
      <c r="S191" s="310" t="str">
        <f>IF(OR(M191="a",N191="a"),VLOOKUP("a",'Características dos Cabos'!$D$25:$L$29,9),IF(OR(M191="b",M191="c",N191="b",N191="c"),VLOOKUP("b",'Características dos Cabos'!$D$25:$L$29,9),IF(OR(M191="d",M191="e",N191="d",N191="e"),VLOOKUP("c",'Características dos Cabos'!$D$25:$L$29,9),IF(OR(M191="f",M191="g",M191="h",N191="f",N191="g",N191="h"),VLOOKUP("d",'Características dos Cabos'!$D$25:$L$29,9),IF(OR(M191="i",M191="j",M191="l",M191="m",N191="i",N191="j",N191="l",N191="m"),VLOOKUP("e",'Características dos Cabos'!$D$25:$L$29,9),"")))))</f>
        <v/>
      </c>
      <c r="T191" s="309" t="str">
        <f t="shared" si="70"/>
        <v/>
      </c>
      <c r="U191" s="310" t="str">
        <f>IF(OR(M191="a",N191="a"),VLOOKUP("a",'Características dos Cabos'!$D$25:$L$29,3),IF(OR(M191="b",M191="c",N191="b",N191="c"),VLOOKUP("b",'Características dos Cabos'!$D$25:$L$29,3),IF(OR(M191="d",M191="e",N191="d",N191="e"),VLOOKUP("c",'Características dos Cabos'!$D$25:$L$29,3),IF(OR(M191="f",M191="g",M191="h",N191="f",N191="g",N191="h"),VLOOKUP("d",'Características dos Cabos'!$D$25:$L$29,3),IF(OR(M191="i",M191="j",M191="l",M191="m",N191="i",N191="j",N191="l",N191="m"),VLOOKUP("e",'Características dos Cabos'!$D$25:$L$29,3),"")))))</f>
        <v/>
      </c>
      <c r="V191" s="311" t="str">
        <f t="shared" si="71"/>
        <v/>
      </c>
      <c r="W191" s="284"/>
      <c r="X191" s="298">
        <f t="shared" si="72"/>
        <v>0</v>
      </c>
      <c r="Y191" s="298">
        <f t="shared" si="73"/>
        <v>0</v>
      </c>
      <c r="Z191" s="284"/>
    </row>
    <row r="192" spans="1:26" ht="15" customHeight="1" x14ac:dyDescent="0.25">
      <c r="A192" s="508"/>
      <c r="B192" s="511"/>
      <c r="C192" s="37"/>
      <c r="D192" s="33"/>
      <c r="E192" s="48"/>
      <c r="F192" s="102" t="str">
        <f t="shared" si="45"/>
        <v/>
      </c>
      <c r="G192" s="48"/>
      <c r="H192" s="306" t="str">
        <f>IF(AND(E192="",G192=""),"",SUM(F192:G194))</f>
        <v/>
      </c>
      <c r="J192" s="33"/>
      <c r="K192" s="33"/>
      <c r="L192" s="307" t="str">
        <f>IF(OR(J192="",K192=""),"",IF(J192="3",VLOOKUP(M192,'K% (Rede Convencional)'!$B$18:$M$29,8),(IF(J192="2",VLOOKUP(N192,'K% (Rede Convencional)'!$B$18:$M$29,9),(IF(J192="1",VLOOKUP(N192,'K% (Rede Convencional)'!$B$18:$M$29,10),(IF(J192="13",VLOOKUP(N192,'K% (Rede Convencional)'!$B$18:$M$29,11),(IF(J192="12",VLOOKUP(N192,'K% (Rede Convencional)'!$B$18:$M$29,12),0))))))))))</f>
        <v/>
      </c>
      <c r="M192" s="308" t="str">
        <f t="shared" si="67"/>
        <v/>
      </c>
      <c r="N192" s="308" t="str">
        <f>IF(K192="","",IF(K192="4 (4)","a",IF(OR(K192="2 (4)",K192="2 (2)"),VLOOKUP(K192,BT!$AE$21:$AF$22,2,FALSE),IF(OR(K192="1/0 (4)",K192="1/0 (2)"),VLOOKUP(K192,BT!$AE$24:$AF$25,2,FALSE),IF(OR(K192="4/0 (4)",K192="4/0 (2)",K192="4/0 (1/0)"),VLOOKUP(K192,BT!$AE$27:$AF$29,2,FALSE),IF(OR(K192="336,4 (4)",K192="336,4 (2)",K192="336,4 (1/0)",K192="336,4 (4/0)"),VLOOKUP(K192,BT!$AE$31:$AF$34,2,FALSE),0))))))</f>
        <v/>
      </c>
      <c r="O192" s="48"/>
      <c r="P192" s="309" t="str">
        <f t="shared" si="68"/>
        <v/>
      </c>
      <c r="Q192" s="309" t="str">
        <f>IF(P192="","",SUM($P$45:P192)+$W$115)</f>
        <v/>
      </c>
      <c r="R192" s="309" t="str">
        <f t="shared" si="69"/>
        <v/>
      </c>
      <c r="S192" s="310" t="str">
        <f>IF(OR(M192="a",N192="a"),VLOOKUP("a",'Características dos Cabos'!$D$25:$L$29,9),IF(OR(M192="b",M192="c",N192="b",N192="c"),VLOOKUP("b",'Características dos Cabos'!$D$25:$L$29,9),IF(OR(M192="d",M192="e",N192="d",N192="e"),VLOOKUP("c",'Características dos Cabos'!$D$25:$L$29,9),IF(OR(M192="f",M192="g",M192="h",N192="f",N192="g",N192="h"),VLOOKUP("d",'Características dos Cabos'!$D$25:$L$29,9),IF(OR(M192="i",M192="j",M192="l",M192="m",N192="i",N192="j",N192="l",N192="m"),VLOOKUP("e",'Características dos Cabos'!$D$25:$L$29,9),"")))))</f>
        <v/>
      </c>
      <c r="T192" s="309" t="str">
        <f t="shared" si="70"/>
        <v/>
      </c>
      <c r="U192" s="310" t="str">
        <f>IF(OR(M192="a",N192="a"),VLOOKUP("a",'Características dos Cabos'!$D$25:$L$29,3),IF(OR(M192="b",M192="c",N192="b",N192="c"),VLOOKUP("b",'Características dos Cabos'!$D$25:$L$29,3),IF(OR(M192="d",M192="e",N192="d",N192="e"),VLOOKUP("c",'Características dos Cabos'!$D$25:$L$29,3),IF(OR(M192="f",M192="g",M192="h",N192="f",N192="g",N192="h"),VLOOKUP("d",'Características dos Cabos'!$D$25:$L$29,3),IF(OR(M192="i",M192="j",M192="l",M192="m",N192="i",N192="j",N192="l",N192="m"),VLOOKUP("e",'Características dos Cabos'!$D$25:$L$29,3),"")))))</f>
        <v/>
      </c>
      <c r="V192" s="311" t="str">
        <f t="shared" si="71"/>
        <v/>
      </c>
      <c r="W192" s="284"/>
      <c r="X192" s="298">
        <f t="shared" si="72"/>
        <v>0</v>
      </c>
      <c r="Y192" s="298">
        <f t="shared" si="73"/>
        <v>0</v>
      </c>
      <c r="Z192" s="284"/>
    </row>
    <row r="193" spans="1:26" ht="15" customHeight="1" x14ac:dyDescent="0.25">
      <c r="A193" s="508"/>
      <c r="B193" s="511"/>
      <c r="C193" s="37"/>
      <c r="D193" s="33"/>
      <c r="E193" s="48"/>
      <c r="F193" s="102" t="str">
        <f t="shared" si="45"/>
        <v/>
      </c>
      <c r="G193" s="48"/>
      <c r="H193" s="306" t="str">
        <f>IF(AND(E193="",G193=""),"",SUM(F193:G194))</f>
        <v/>
      </c>
      <c r="J193" s="33"/>
      <c r="K193" s="33"/>
      <c r="L193" s="307" t="str">
        <f>IF(OR(J193="",K193=""),"",IF(J193="3",VLOOKUP(M193,'K% (Rede Convencional)'!$B$18:$M$29,8),(IF(J193="2",VLOOKUP(N193,'K% (Rede Convencional)'!$B$18:$M$29,9),(IF(J193="1",VLOOKUP(N193,'K% (Rede Convencional)'!$B$18:$M$29,10),(IF(J193="13",VLOOKUP(N193,'K% (Rede Convencional)'!$B$18:$M$29,11),(IF(J193="12",VLOOKUP(N193,'K% (Rede Convencional)'!$B$18:$M$29,12),0))))))))))</f>
        <v/>
      </c>
      <c r="M193" s="308" t="str">
        <f t="shared" si="67"/>
        <v/>
      </c>
      <c r="N193" s="308" t="str">
        <f>IF(K193="","",IF(K193="4 (4)","a",IF(OR(K193="2 (4)",K193="2 (2)"),VLOOKUP(K193,BT!$AE$21:$AF$22,2,FALSE),IF(OR(K193="1/0 (4)",K193="1/0 (2)"),VLOOKUP(K193,BT!$AE$24:$AF$25,2,FALSE),IF(OR(K193="4/0 (4)",K193="4/0 (2)",K193="4/0 (1/0)"),VLOOKUP(K193,BT!$AE$27:$AF$29,2,FALSE),IF(OR(K193="336,4 (4)",K193="336,4 (2)",K193="336,4 (1/0)",K193="336,4 (4/0)"),VLOOKUP(K193,BT!$AE$31:$AF$34,2,FALSE),0))))))</f>
        <v/>
      </c>
      <c r="O193" s="48"/>
      <c r="P193" s="309" t="str">
        <f t="shared" si="68"/>
        <v/>
      </c>
      <c r="Q193" s="309" t="str">
        <f>IF(P193="","",SUM($P$45:P193)+$W$115)</f>
        <v/>
      </c>
      <c r="R193" s="309" t="str">
        <f t="shared" si="69"/>
        <v/>
      </c>
      <c r="S193" s="310" t="str">
        <f>IF(OR(M193="a",N193="a"),VLOOKUP("a",'Características dos Cabos'!$D$25:$L$29,9),IF(OR(M193="b",M193="c",N193="b",N193="c"),VLOOKUP("b",'Características dos Cabos'!$D$25:$L$29,9),IF(OR(M193="d",M193="e",N193="d",N193="e"),VLOOKUP("c",'Características dos Cabos'!$D$25:$L$29,9),IF(OR(M193="f",M193="g",M193="h",N193="f",N193="g",N193="h"),VLOOKUP("d",'Características dos Cabos'!$D$25:$L$29,9),IF(OR(M193="i",M193="j",M193="l",M193="m",N193="i",N193="j",N193="l",N193="m"),VLOOKUP("e",'Características dos Cabos'!$D$25:$L$29,9),"")))))</f>
        <v/>
      </c>
      <c r="T193" s="309" t="str">
        <f t="shared" si="70"/>
        <v/>
      </c>
      <c r="U193" s="310" t="str">
        <f>IF(OR(M193="a",N193="a"),VLOOKUP("a",'Características dos Cabos'!$D$25:$L$29,3),IF(OR(M193="b",M193="c",N193="b",N193="c"),VLOOKUP("b",'Características dos Cabos'!$D$25:$L$29,3),IF(OR(M193="d",M193="e",N193="d",N193="e"),VLOOKUP("c",'Características dos Cabos'!$D$25:$L$29,3),IF(OR(M193="f",M193="g",M193="h",N193="f",N193="g",N193="h"),VLOOKUP("d",'Características dos Cabos'!$D$25:$L$29,3),IF(OR(M193="i",M193="j",M193="l",M193="m",N193="i",N193="j",N193="l",N193="m"),VLOOKUP("e",'Características dos Cabos'!$D$25:$L$29,3),"")))))</f>
        <v/>
      </c>
      <c r="V193" s="311" t="str">
        <f t="shared" si="71"/>
        <v/>
      </c>
      <c r="W193" s="284"/>
      <c r="X193" s="298">
        <f t="shared" si="72"/>
        <v>0</v>
      </c>
      <c r="Y193" s="298">
        <f t="shared" si="73"/>
        <v>0</v>
      </c>
      <c r="Z193" s="284"/>
    </row>
    <row r="194" spans="1:26" ht="15" customHeight="1" thickBot="1" x14ac:dyDescent="0.3">
      <c r="A194" s="509"/>
      <c r="B194" s="512"/>
      <c r="C194" s="38"/>
      <c r="D194" s="34"/>
      <c r="E194" s="49"/>
      <c r="F194" s="64" t="str">
        <f t="shared" si="45"/>
        <v/>
      </c>
      <c r="G194" s="49"/>
      <c r="H194" s="328" t="str">
        <f>IF(AND(E194="",G194=""),"",SUM(F194:G194))</f>
        <v/>
      </c>
      <c r="J194" s="34"/>
      <c r="K194" s="34"/>
      <c r="L194" s="329" t="str">
        <f>IF(OR(J194="",K194=""),"",IF(J194="3",VLOOKUP(M194,'K% (Rede Convencional)'!$B$18:$M$29,8),(IF(J194="2",VLOOKUP(N194,'K% (Rede Convencional)'!$B$18:$M$29,9),(IF(J194="1",VLOOKUP(N194,'K% (Rede Convencional)'!$B$18:$M$29,10),(IF(J194="13",VLOOKUP(N194,'K% (Rede Convencional)'!$B$18:$M$29,11),(IF(J194="12",VLOOKUP(N194,'K% (Rede Convencional)'!$B$18:$M$29,12),0))))))))))</f>
        <v/>
      </c>
      <c r="M194" s="330" t="str">
        <f t="shared" si="67"/>
        <v/>
      </c>
      <c r="N194" s="330" t="str">
        <f>IF(K194="","",IF(K194="4 (4)","a",IF(OR(K194="2 (4)",K194="2 (2)"),VLOOKUP(K194,BT!$AE$21:$AF$22,2,FALSE),IF(OR(K194="1/0 (4)",K194="1/0 (2)"),VLOOKUP(K194,BT!$AE$24:$AF$25,2,FALSE),IF(OR(K194="4/0 (4)",K194="4/0 (2)",K194="4/0 (1/0)"),VLOOKUP(K194,BT!$AE$27:$AF$29,2,FALSE),IF(OR(K194="336,4 (4)",K194="336,4 (2)",K194="336,4 (1/0)",K194="336,4 (4/0)"),VLOOKUP(K194,BT!$AE$31:$AF$34,2,FALSE),0))))))</f>
        <v/>
      </c>
      <c r="O194" s="49"/>
      <c r="P194" s="331" t="str">
        <f t="shared" si="68"/>
        <v/>
      </c>
      <c r="Q194" s="331" t="str">
        <f>IF(P194="","",SUM($P$45:P194)+$W$115)</f>
        <v/>
      </c>
      <c r="R194" s="331" t="str">
        <f t="shared" si="69"/>
        <v/>
      </c>
      <c r="S194" s="332" t="str">
        <f>IF(N194="a",VLOOKUP("a",#REF!,9),IF(OR(N194="b",N194="c"),VLOOKUP("b",#REF!,9),IF(OR(N194="d",N194="e"),VLOOKUP("c",#REF!,9),IF(OR(N194="f",N194="g",N194="h"),VLOOKUP("d",#REF!,9),IF(OR(N194="i",N194="j",N194="l",N194="m"),VLOOKUP("e",#REF!,9),"")))))</f>
        <v/>
      </c>
      <c r="T194" s="331" t="str">
        <f t="shared" si="70"/>
        <v/>
      </c>
      <c r="U194" s="332" t="str">
        <f>IF(OR(M194="a",N194="a"),VLOOKUP("a",'Características dos Cabos'!$D$25:$L$29,3),IF(OR(M194="b",M194="c",N194="b",N194="c"),VLOOKUP("b",'Características dos Cabos'!$D$25:$L$29,3),IF(OR(M194="d",M194="e",N194="d",N194="e"),VLOOKUP("c",'Características dos Cabos'!$D$25:$L$29,3),IF(OR(M194="f",M194="g",M194="h",N194="f",N194="g",N194="h"),VLOOKUP("d",'Características dos Cabos'!$D$25:$L$29,3),IF(OR(M194="i",M194="j",M194="l",M194="m",N194="i",N194="j",N194="l",N194="m"),VLOOKUP("e",'Características dos Cabos'!$D$25:$L$29,3),"")))))</f>
        <v/>
      </c>
      <c r="V194" s="333" t="str">
        <f t="shared" si="71"/>
        <v/>
      </c>
      <c r="W194" s="284"/>
      <c r="X194" s="298">
        <f t="shared" si="72"/>
        <v>0</v>
      </c>
      <c r="Y194" s="298">
        <f t="shared" si="73"/>
        <v>0</v>
      </c>
      <c r="Z194" s="284"/>
    </row>
    <row r="195" spans="1:26" ht="13" thickTop="1" x14ac:dyDescent="0.25"/>
  </sheetData>
  <sheetProtection password="DEE8" sheet="1" objects="1" scenarios="1" selectLockedCells="1"/>
  <customSheetViews>
    <customSheetView guid="{ADCFDDAA-AF71-42CE-8FD7-7ABB67CB940B}" showPageBreaks="1" showGridLines="0" printArea="1" hiddenColumns="1" view="pageBreakPreview">
      <selection activeCell="R12" sqref="R12"/>
      <rowBreaks count="4" manualBreakCount="4">
        <brk id="84" max="21" man="1"/>
        <brk id="114" max="21" man="1"/>
        <brk id="144" max="21" man="1"/>
        <brk id="174" max="21" man="1"/>
      </rowBreaks>
      <colBreaks count="1" manualBreakCount="1">
        <brk id="34" max="1048575" man="1"/>
      </colBreaks>
      <pageMargins left="0" right="0" top="0" bottom="0" header="0.51181102362204722" footer="0.51181102362204722"/>
      <printOptions horizontalCentered="1"/>
      <pageSetup paperSize="9" scale="80" orientation="landscape" horizontalDpi="4294967294" verticalDpi="4294967294" r:id="rId1"/>
      <headerFooter alignWithMargins="0"/>
    </customSheetView>
  </customSheetViews>
  <mergeCells count="63">
    <mergeCell ref="A20:A43"/>
    <mergeCell ref="B32:B43"/>
    <mergeCell ref="C18:D18"/>
    <mergeCell ref="B20:B31"/>
    <mergeCell ref="C20:D20"/>
    <mergeCell ref="Q15:R15"/>
    <mergeCell ref="D8:G8"/>
    <mergeCell ref="P8:V8"/>
    <mergeCell ref="H11:J11"/>
    <mergeCell ref="H13:J13"/>
    <mergeCell ref="E11:G11"/>
    <mergeCell ref="K13:L13"/>
    <mergeCell ref="E15:G15"/>
    <mergeCell ref="C15:D15"/>
    <mergeCell ref="E13:G13"/>
    <mergeCell ref="O15:P15"/>
    <mergeCell ref="O13:P13"/>
    <mergeCell ref="H15:J15"/>
    <mergeCell ref="D9:G9"/>
    <mergeCell ref="C13:D13"/>
    <mergeCell ref="K15:L15"/>
    <mergeCell ref="E18:E19"/>
    <mergeCell ref="G18:G19"/>
    <mergeCell ref="AB19:AC19"/>
    <mergeCell ref="V18:V19"/>
    <mergeCell ref="U18:U19"/>
    <mergeCell ref="T18:T19"/>
    <mergeCell ref="S18:S19"/>
    <mergeCell ref="O18:O19"/>
    <mergeCell ref="J18:J19"/>
    <mergeCell ref="R18:R19"/>
    <mergeCell ref="Q18:Q19"/>
    <mergeCell ref="P18:P19"/>
    <mergeCell ref="K18:K19"/>
    <mergeCell ref="L18:L19"/>
    <mergeCell ref="H18:H19"/>
    <mergeCell ref="A3:V3"/>
    <mergeCell ref="A2:V2"/>
    <mergeCell ref="T11:V11"/>
    <mergeCell ref="P9:V9"/>
    <mergeCell ref="C11:D11"/>
    <mergeCell ref="K11:L11"/>
    <mergeCell ref="O11:P11"/>
    <mergeCell ref="Q11:R11"/>
    <mergeCell ref="A6:V6"/>
    <mergeCell ref="I8:N8"/>
    <mergeCell ref="J9:L9"/>
    <mergeCell ref="A45:A194"/>
    <mergeCell ref="B45:B54"/>
    <mergeCell ref="B55:B64"/>
    <mergeCell ref="B65:B74"/>
    <mergeCell ref="B75:B84"/>
    <mergeCell ref="B85:B94"/>
    <mergeCell ref="B95:B104"/>
    <mergeCell ref="B105:B114"/>
    <mergeCell ref="B115:B124"/>
    <mergeCell ref="B125:B134"/>
    <mergeCell ref="B135:B144"/>
    <mergeCell ref="B145:B154"/>
    <mergeCell ref="B155:B164"/>
    <mergeCell ref="B165:B174"/>
    <mergeCell ref="B175:B184"/>
    <mergeCell ref="B185:B194"/>
  </mergeCells>
  <phoneticPr fontId="0" type="noConversion"/>
  <printOptions horizontalCentered="1"/>
  <pageMargins left="0" right="0" top="0" bottom="0" header="0.51181102362204722" footer="0.51181102362204722"/>
  <pageSetup paperSize="9" scale="80" orientation="landscape" horizontalDpi="4294967294" verticalDpi="4294967294" r:id="rId2"/>
  <headerFooter alignWithMargins="0"/>
  <rowBreaks count="4" manualBreakCount="4">
    <brk id="84" max="21" man="1"/>
    <brk id="114" max="21" man="1"/>
    <brk id="144" max="21" man="1"/>
    <brk id="174" max="21" man="1"/>
  </rowBreaks>
  <colBreaks count="1" manualBreakCount="1">
    <brk id="34" max="1048575" man="1"/>
  </colBreaks>
  <ignoredErrors>
    <ignoredError sqref="Q185 Q175 Q165:Q174 Q96:Q155" formula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Capa!$T$5:$T$6</xm:f>
          </x14:formula1>
          <xm:sqref>D14</xm:sqref>
        </x14:dataValidation>
        <x14:dataValidation type="list" allowBlank="1" showInputMessage="1" showErrorMessage="1">
          <x14:formula1>
            <xm:f>Capa!$U$5:$U$6</xm:f>
          </x14:formula1>
          <xm:sqref>D16</xm:sqref>
        </x14:dataValidation>
        <x14:dataValidation type="list" allowBlank="1" showInputMessage="1" showErrorMessage="1">
          <x14:formula1>
            <xm:f>Capa!$W$5:$W$6</xm:f>
          </x14:formula1>
          <xm:sqref>J14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/>
  <dimension ref="A1:AM197"/>
  <sheetViews>
    <sheetView showGridLines="0" tabSelected="1" view="pageBreakPreview" zoomScale="85" zoomScaleNormal="80" zoomScaleSheetLayoutView="85" workbookViewId="0">
      <selection activeCell="D8" sqref="D8:G8"/>
    </sheetView>
  </sheetViews>
  <sheetFormatPr defaultColWidth="9.1796875" defaultRowHeight="12.5" x14ac:dyDescent="0.25"/>
  <cols>
    <col min="1" max="2" width="3.453125" style="121" customWidth="1"/>
    <col min="3" max="3" width="14.1796875" style="121" customWidth="1"/>
    <col min="4" max="4" width="12.7265625" style="121" customWidth="1"/>
    <col min="5" max="5" width="13.26953125" style="121" customWidth="1"/>
    <col min="6" max="6" width="9.1796875" style="121" hidden="1" customWidth="1"/>
    <col min="7" max="7" width="10.453125" style="121" customWidth="1"/>
    <col min="8" max="8" width="11.54296875" style="121" customWidth="1"/>
    <col min="9" max="9" width="9.1796875" style="121" hidden="1" customWidth="1"/>
    <col min="10" max="10" width="11.26953125" style="121" customWidth="1"/>
    <col min="11" max="11" width="12.1796875" style="121" customWidth="1"/>
    <col min="12" max="12" width="10.7265625" style="121" customWidth="1"/>
    <col min="13" max="13" width="9.1796875" style="194" hidden="1" customWidth="1"/>
    <col min="14" max="14" width="13.54296875" style="121" customWidth="1"/>
    <col min="15" max="15" width="13.7265625" style="121" customWidth="1"/>
    <col min="16" max="16" width="12.54296875" style="121" customWidth="1"/>
    <col min="17" max="17" width="16.81640625" style="121" customWidth="1"/>
    <col min="18" max="18" width="13.1796875" style="121" hidden="1" customWidth="1"/>
    <col min="19" max="19" width="13.7265625" style="121" hidden="1" customWidth="1"/>
    <col min="20" max="20" width="11.7265625" style="121" customWidth="1"/>
    <col min="21" max="22" width="9.1796875" style="121" hidden="1" customWidth="1"/>
    <col min="23" max="23" width="10.26953125" style="121" hidden="1" customWidth="1"/>
    <col min="24" max="24" width="11.54296875" style="121" hidden="1" customWidth="1"/>
    <col min="25" max="25" width="17.81640625" style="121" customWidth="1"/>
    <col min="26" max="26" width="13.81640625" style="121" hidden="1" customWidth="1"/>
    <col min="27" max="27" width="13.7265625" style="121" hidden="1" customWidth="1"/>
    <col min="28" max="28" width="16.54296875" style="121" hidden="1" customWidth="1"/>
    <col min="29" max="29" width="17.54296875" style="121" hidden="1" customWidth="1"/>
    <col min="30" max="30" width="11.54296875" style="121" hidden="1" customWidth="1"/>
    <col min="31" max="31" width="13.81640625" style="121" hidden="1" customWidth="1"/>
    <col min="32" max="32" width="11.1796875" style="121" hidden="1" customWidth="1"/>
    <col min="33" max="33" width="15.26953125" style="121" hidden="1" customWidth="1"/>
    <col min="34" max="34" width="15.7265625" style="121" customWidth="1"/>
    <col min="35" max="35" width="8" style="121" customWidth="1"/>
    <col min="36" max="73" width="9.1796875" style="121" customWidth="1"/>
    <col min="74" max="16383" width="9.1796875" style="121"/>
    <col min="16384" max="16384" width="15.7265625" style="121" customWidth="1"/>
  </cols>
  <sheetData>
    <row r="1" spans="1:39" ht="18.5" thickTop="1" x14ac:dyDescent="0.4">
      <c r="A1" s="585"/>
      <c r="B1" s="586"/>
      <c r="C1" s="586"/>
      <c r="D1" s="586"/>
      <c r="E1" s="586"/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586"/>
      <c r="Q1" s="586"/>
      <c r="R1" s="586"/>
      <c r="S1" s="586"/>
      <c r="T1" s="586"/>
      <c r="U1" s="586"/>
      <c r="V1" s="586"/>
      <c r="W1" s="586"/>
      <c r="X1" s="586"/>
      <c r="Y1" s="587"/>
    </row>
    <row r="2" spans="1:39" ht="20" x14ac:dyDescent="0.4">
      <c r="A2" s="597" t="s">
        <v>244</v>
      </c>
      <c r="B2" s="513"/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  <c r="P2" s="513"/>
      <c r="Q2" s="513"/>
      <c r="R2" s="513"/>
      <c r="S2" s="513"/>
      <c r="T2" s="513"/>
      <c r="U2" s="513"/>
      <c r="V2" s="513"/>
      <c r="W2" s="513"/>
      <c r="X2" s="513"/>
      <c r="Y2" s="598"/>
    </row>
    <row r="3" spans="1:39" x14ac:dyDescent="0.25">
      <c r="A3" s="490"/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491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492"/>
    </row>
    <row r="4" spans="1:39" ht="12" customHeight="1" x14ac:dyDescent="0.25">
      <c r="A4" s="490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491"/>
      <c r="N4" s="175"/>
      <c r="O4" s="175"/>
      <c r="P4" s="175"/>
      <c r="Q4" s="175" t="str">
        <f>TEXT("cemar",1)</f>
        <v>cemar</v>
      </c>
      <c r="R4" s="175"/>
      <c r="S4" s="175"/>
      <c r="T4" s="175"/>
      <c r="U4" s="175"/>
      <c r="V4" s="175"/>
      <c r="W4" s="175"/>
      <c r="X4" s="175"/>
      <c r="Y4" s="492"/>
    </row>
    <row r="5" spans="1:39" ht="20" x14ac:dyDescent="0.4">
      <c r="A5" s="597" t="s">
        <v>233</v>
      </c>
      <c r="B5" s="51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98"/>
      <c r="AJ5" s="106"/>
    </row>
    <row r="6" spans="1:39" ht="12" customHeight="1" thickBot="1" x14ac:dyDescent="0.45">
      <c r="A6" s="493"/>
      <c r="B6" s="488"/>
      <c r="C6" s="488"/>
      <c r="D6" s="488"/>
      <c r="E6" s="488"/>
      <c r="F6" s="488"/>
      <c r="G6" s="488"/>
      <c r="H6" s="488"/>
      <c r="I6" s="488"/>
      <c r="J6" s="488"/>
      <c r="K6" s="488"/>
      <c r="L6" s="488"/>
      <c r="M6" s="488"/>
      <c r="N6" s="488"/>
      <c r="O6" s="488"/>
      <c r="P6" s="488"/>
      <c r="Q6" s="488"/>
      <c r="R6" s="488"/>
      <c r="S6" s="488"/>
      <c r="T6" s="488"/>
      <c r="U6" s="488"/>
      <c r="V6" s="488"/>
      <c r="W6" s="175"/>
      <c r="X6" s="175"/>
      <c r="Y6" s="492"/>
      <c r="AJ6" s="106"/>
    </row>
    <row r="7" spans="1:39" ht="16.5" customHeight="1" x14ac:dyDescent="0.3">
      <c r="A7" s="494"/>
      <c r="B7" s="105"/>
      <c r="C7" s="380" t="s">
        <v>187</v>
      </c>
      <c r="D7" s="602"/>
      <c r="E7" s="603"/>
      <c r="F7" s="603"/>
      <c r="G7" s="604"/>
      <c r="H7" s="199" t="s">
        <v>185</v>
      </c>
      <c r="I7" s="592"/>
      <c r="J7" s="593"/>
      <c r="K7" s="593"/>
      <c r="L7" s="593"/>
      <c r="M7" s="593"/>
      <c r="N7" s="593"/>
      <c r="O7" s="201" t="s">
        <v>189</v>
      </c>
      <c r="P7" s="592"/>
      <c r="Q7" s="593"/>
      <c r="R7" s="593"/>
      <c r="S7" s="593"/>
      <c r="T7" s="593"/>
      <c r="U7" s="593"/>
      <c r="V7" s="593"/>
      <c r="W7" s="593"/>
      <c r="X7" s="593"/>
      <c r="Y7" s="594"/>
    </row>
    <row r="8" spans="1:39" ht="15" customHeight="1" thickBot="1" x14ac:dyDescent="0.35">
      <c r="A8" s="494"/>
      <c r="B8" s="105"/>
      <c r="C8" s="381" t="s">
        <v>186</v>
      </c>
      <c r="D8" s="599"/>
      <c r="E8" s="600"/>
      <c r="F8" s="600"/>
      <c r="G8" s="601"/>
      <c r="H8" s="200" t="s">
        <v>260</v>
      </c>
      <c r="I8" s="418"/>
      <c r="J8" s="561"/>
      <c r="K8" s="562"/>
      <c r="L8" s="562"/>
      <c r="M8" s="562"/>
      <c r="N8" s="562"/>
      <c r="O8" s="382" t="s">
        <v>259</v>
      </c>
      <c r="P8" s="595"/>
      <c r="Q8" s="562"/>
      <c r="R8" s="562"/>
      <c r="S8" s="562"/>
      <c r="T8" s="562"/>
      <c r="U8" s="562"/>
      <c r="V8" s="562"/>
      <c r="W8" s="562"/>
      <c r="X8" s="562"/>
      <c r="Y8" s="596"/>
    </row>
    <row r="9" spans="1:39" ht="5.25" customHeight="1" thickBot="1" x14ac:dyDescent="0.3">
      <c r="A9" s="494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377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495"/>
      <c r="Z9" s="106"/>
      <c r="AA9" s="106"/>
      <c r="AB9" s="106"/>
      <c r="AC9" s="106"/>
      <c r="AD9" s="106"/>
      <c r="AE9" s="106"/>
      <c r="AF9" s="106"/>
    </row>
    <row r="10" spans="1:39" ht="13.5" customHeight="1" thickBot="1" x14ac:dyDescent="0.3">
      <c r="A10" s="494"/>
      <c r="B10" s="105"/>
      <c r="C10" s="588" t="s">
        <v>124</v>
      </c>
      <c r="D10" s="589"/>
      <c r="E10" s="590" t="s">
        <v>98</v>
      </c>
      <c r="F10" s="590"/>
      <c r="G10" s="590"/>
      <c r="H10" s="584" t="s">
        <v>190</v>
      </c>
      <c r="I10" s="577"/>
      <c r="J10" s="571"/>
      <c r="K10" s="570" t="s">
        <v>253</v>
      </c>
      <c r="L10" s="571"/>
      <c r="M10" s="411"/>
      <c r="N10" s="572" t="s">
        <v>115</v>
      </c>
      <c r="O10" s="572"/>
      <c r="P10" s="572" t="s">
        <v>276</v>
      </c>
      <c r="Q10" s="572"/>
      <c r="R10" s="267"/>
      <c r="S10" s="267"/>
      <c r="T10" s="584" t="s">
        <v>118</v>
      </c>
      <c r="U10" s="577"/>
      <c r="V10" s="577"/>
      <c r="W10" s="577"/>
      <c r="X10" s="577"/>
      <c r="Y10" s="591"/>
    </row>
    <row r="11" spans="1:39" ht="13" thickBot="1" x14ac:dyDescent="0.3">
      <c r="A11" s="494"/>
      <c r="B11" s="105"/>
      <c r="C11" s="406" t="s">
        <v>269</v>
      </c>
      <c r="D11" s="264"/>
      <c r="E11" s="105"/>
      <c r="F11" s="175"/>
      <c r="G11" s="264"/>
      <c r="H11" s="175"/>
      <c r="I11" s="105"/>
      <c r="J11" s="190"/>
      <c r="K11" s="175"/>
      <c r="L11" s="264"/>
      <c r="M11" s="377"/>
      <c r="N11" s="105"/>
      <c r="O11" s="265" t="str">
        <f>IF(OR(H20="",H33=""),"",SUM(F19:G195))</f>
        <v/>
      </c>
      <c r="P11" s="496" t="s">
        <v>275</v>
      </c>
      <c r="Q11" s="266" t="str">
        <f>IF(T20="","",MAX(T20:T195))</f>
        <v/>
      </c>
      <c r="R11" s="105"/>
      <c r="S11" s="105"/>
      <c r="T11" s="377" t="s">
        <v>109</v>
      </c>
      <c r="U11" s="377"/>
      <c r="V11" s="377"/>
      <c r="W11" s="491"/>
      <c r="X11" s="195"/>
      <c r="Y11" s="497" t="str">
        <f>IF(P20="","",MAX(P20:P195))</f>
        <v/>
      </c>
    </row>
    <row r="12" spans="1:39" ht="13" thickBot="1" x14ac:dyDescent="0.3">
      <c r="A12" s="494"/>
      <c r="B12" s="105"/>
      <c r="C12" s="484" t="s">
        <v>288</v>
      </c>
      <c r="D12" s="485" t="s">
        <v>287</v>
      </c>
      <c r="E12" s="572" t="s">
        <v>4</v>
      </c>
      <c r="F12" s="573"/>
      <c r="G12" s="573"/>
      <c r="H12" s="570" t="s">
        <v>271</v>
      </c>
      <c r="I12" s="577"/>
      <c r="J12" s="571"/>
      <c r="K12" s="570" t="s">
        <v>78</v>
      </c>
      <c r="L12" s="571"/>
      <c r="M12" s="377"/>
      <c r="N12" s="572" t="s">
        <v>116</v>
      </c>
      <c r="O12" s="573"/>
      <c r="P12" s="340" t="s">
        <v>110</v>
      </c>
      <c r="Q12" s="193" t="str">
        <f>IF(Q11="","",VLOOKUP(Q11,T20:AA195,8,FALSE))</f>
        <v/>
      </c>
      <c r="R12" s="105"/>
      <c r="S12" s="105"/>
      <c r="T12" s="377" t="s">
        <v>110</v>
      </c>
      <c r="U12" s="377"/>
      <c r="V12" s="377"/>
      <c r="W12" s="491"/>
      <c r="X12" s="196"/>
      <c r="Y12" s="498" t="str">
        <f>IF(Y11="","",VLOOKUP(Y11,P20:AA195,12,FALSE))</f>
        <v/>
      </c>
      <c r="AA12" s="275" t="s">
        <v>127</v>
      </c>
      <c r="AB12" s="275" t="s">
        <v>128</v>
      </c>
      <c r="AM12" s="483" t="s">
        <v>286</v>
      </c>
    </row>
    <row r="13" spans="1:39" ht="13.5" customHeight="1" thickBot="1" x14ac:dyDescent="0.3">
      <c r="A13" s="494"/>
      <c r="B13" s="105"/>
      <c r="C13" s="484" t="s">
        <v>42</v>
      </c>
      <c r="D13" s="374">
        <f>IF(D12="CEMAR",380,220)</f>
        <v>220</v>
      </c>
      <c r="E13" s="105"/>
      <c r="F13" s="175"/>
      <c r="G13" s="466">
        <v>0.92</v>
      </c>
      <c r="H13" s="175"/>
      <c r="I13" s="105"/>
      <c r="J13" s="189"/>
      <c r="K13" s="175"/>
      <c r="L13" s="178" t="str">
        <f>IF(G15="","",(0.7*(G15)^2)+(0.3*G15))</f>
        <v/>
      </c>
      <c r="M13" s="377"/>
      <c r="N13" s="175"/>
      <c r="O13" s="192" t="str">
        <f>IF(OR(L15="",O11=""),"",L15/(G15*O11*G13*8760))</f>
        <v/>
      </c>
      <c r="P13" s="340" t="s">
        <v>111</v>
      </c>
      <c r="Q13" s="193" t="str">
        <f>IF(Q11="","",VLOOKUP(Q11,T20:AB195,9,FALSE))</f>
        <v/>
      </c>
      <c r="R13" s="105"/>
      <c r="S13" s="105"/>
      <c r="T13" s="377" t="s">
        <v>111</v>
      </c>
      <c r="U13" s="377"/>
      <c r="V13" s="377"/>
      <c r="W13" s="491"/>
      <c r="X13" s="196"/>
      <c r="Y13" s="499" t="str">
        <f>IF(Y12="","",VLOOKUP(Y12,AA19:AB195,2,FALSE))</f>
        <v/>
      </c>
      <c r="AA13" s="277" t="b">
        <f>IF(AND($O$15&gt;=0,$O$15&lt;17),15,(IF(AND($O$15&gt;=18,$O$15&lt;34),30,(IF(AND($O$15&gt;=35,$O$15&lt;52),45,(IF(AND($O$15&gt;=53,$O$15&lt;87),75,(IF(AND($O$15&gt;=88,$O$15&lt;130),112.5,(IF(AND($O$15&gt;=131,$O$15&lt;175),150)))))))))))</f>
        <v>0</v>
      </c>
      <c r="AB13" s="277" t="b">
        <f>IF(AND($O$15&gt;=0,$O$15&lt;18),15,(IF(AND($O$15&gt;=19,$O$15&lt;36),30,(IF(AND($O$15&gt;=37,$O$15&lt;54),45,(IF(AND($O$15&gt;=55,$O$15&lt;90),75,(IF(AND($O$15&gt;=91,$O$15&lt;135),112.5,(IF(AND($O$15&gt;=136,$O$15&lt;180),150)))))))))))</f>
        <v>0</v>
      </c>
      <c r="AM13" s="483" t="s">
        <v>287</v>
      </c>
    </row>
    <row r="14" spans="1:39" ht="14.25" customHeight="1" thickBot="1" x14ac:dyDescent="0.3">
      <c r="A14" s="494"/>
      <c r="B14" s="105"/>
      <c r="C14" s="482"/>
      <c r="D14" s="482"/>
      <c r="E14" s="572" t="s">
        <v>3</v>
      </c>
      <c r="F14" s="573"/>
      <c r="G14" s="573"/>
      <c r="H14" s="570" t="s">
        <v>192</v>
      </c>
      <c r="I14" s="577"/>
      <c r="J14" s="571"/>
      <c r="K14" s="572" t="s">
        <v>107</v>
      </c>
      <c r="L14" s="573"/>
      <c r="M14" s="377"/>
      <c r="N14" s="584" t="s">
        <v>195</v>
      </c>
      <c r="O14" s="571"/>
      <c r="P14" s="572" t="s">
        <v>117</v>
      </c>
      <c r="Q14" s="573"/>
      <c r="R14" s="105"/>
      <c r="S14" s="105"/>
      <c r="T14" s="610" t="s">
        <v>112</v>
      </c>
      <c r="U14" s="612"/>
      <c r="V14" s="612"/>
      <c r="W14" s="612"/>
      <c r="X14" s="612"/>
      <c r="Y14" s="613"/>
    </row>
    <row r="15" spans="1:39" ht="13.5" customHeight="1" thickBot="1" x14ac:dyDescent="0.35">
      <c r="A15" s="494"/>
      <c r="B15" s="105"/>
      <c r="C15" s="175"/>
      <c r="D15" s="486">
        <f>IF(D12="CEMAR",220,127)</f>
        <v>127</v>
      </c>
      <c r="E15" s="105"/>
      <c r="F15" s="175"/>
      <c r="G15" s="188"/>
      <c r="H15" s="500" t="s">
        <v>193</v>
      </c>
      <c r="I15" s="105"/>
      <c r="J15" s="188"/>
      <c r="K15" s="175"/>
      <c r="L15" s="191" t="str">
        <f>IF(Y20="","",SUM(Y20:Y125))</f>
        <v/>
      </c>
      <c r="M15" s="377"/>
      <c r="N15" s="175"/>
      <c r="O15" s="180" t="str">
        <f>IF(O11="","",SUM(AE19:AF195))</f>
        <v/>
      </c>
      <c r="P15" s="370" t="s">
        <v>143</v>
      </c>
      <c r="Q15" s="383" t="str">
        <f>IF(O15="","",IF(O15&lt;=45*1.1,45,IF(AND(O15&gt;45*1.1,O15&lt;=74*1.1),75,IF(AND(O15&gt;75*1.1,O15&lt;=112.5*1.1),112.5,IF(AND(O15&gt;112.5*1.1,O15&lt;=150*1.1),"Dividir Área BT",IF(O15&gt;150*1.1,"Dividir Área BT"))))))</f>
        <v/>
      </c>
      <c r="R15" s="105"/>
      <c r="S15" s="105"/>
      <c r="T15" s="377" t="s">
        <v>94</v>
      </c>
      <c r="U15" s="377"/>
      <c r="V15" s="377"/>
      <c r="W15" s="491"/>
      <c r="X15" s="197"/>
      <c r="Y15" s="501" t="str">
        <f>IF(AND(N20="",N33=""),"",MAX(AC20:AC44))</f>
        <v/>
      </c>
      <c r="AC15" s="121">
        <f>34/(1.73*0.22)</f>
        <v>89.332632685233847</v>
      </c>
    </row>
    <row r="16" spans="1:39" ht="8.25" customHeight="1" thickBot="1" x14ac:dyDescent="0.3">
      <c r="A16" s="494"/>
      <c r="B16" s="105"/>
      <c r="C16" s="105"/>
      <c r="D16" s="105"/>
      <c r="E16" s="105"/>
      <c r="F16" s="105"/>
      <c r="G16" s="105"/>
      <c r="H16" s="105"/>
      <c r="I16" s="105"/>
      <c r="J16" s="105"/>
      <c r="K16" s="502"/>
      <c r="L16" s="175"/>
      <c r="M16" s="377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495"/>
    </row>
    <row r="17" spans="1:33" ht="20.25" customHeight="1" thickBot="1" x14ac:dyDescent="0.3">
      <c r="A17" s="494"/>
      <c r="B17" s="105"/>
      <c r="C17" s="610" t="s">
        <v>0</v>
      </c>
      <c r="D17" s="611"/>
      <c r="E17" s="566" t="s">
        <v>80</v>
      </c>
      <c r="F17" s="181"/>
      <c r="G17" s="568" t="s">
        <v>38</v>
      </c>
      <c r="H17" s="580" t="s">
        <v>97</v>
      </c>
      <c r="I17" s="175"/>
      <c r="J17" s="568" t="s">
        <v>40</v>
      </c>
      <c r="K17" s="568" t="s">
        <v>79</v>
      </c>
      <c r="L17" s="566" t="s">
        <v>273</v>
      </c>
      <c r="M17" s="503"/>
      <c r="N17" s="568" t="s">
        <v>196</v>
      </c>
      <c r="O17" s="568" t="s">
        <v>197</v>
      </c>
      <c r="P17" s="568" t="s">
        <v>75</v>
      </c>
      <c r="Q17" s="568" t="s">
        <v>256</v>
      </c>
      <c r="R17" s="534" t="s">
        <v>198</v>
      </c>
      <c r="S17" s="534" t="s">
        <v>199</v>
      </c>
      <c r="T17" s="566" t="s">
        <v>200</v>
      </c>
      <c r="U17" s="532" t="s">
        <v>201</v>
      </c>
      <c r="V17" s="487" t="s">
        <v>1</v>
      </c>
      <c r="W17" s="582" t="s">
        <v>202</v>
      </c>
      <c r="X17" s="582" t="s">
        <v>203</v>
      </c>
      <c r="Y17" s="578" t="s">
        <v>204</v>
      </c>
    </row>
    <row r="18" spans="1:33" ht="18" customHeight="1" thickBot="1" x14ac:dyDescent="0.3">
      <c r="A18" s="494"/>
      <c r="B18" s="105"/>
      <c r="C18" s="182" t="s">
        <v>36</v>
      </c>
      <c r="D18" s="182" t="s">
        <v>37</v>
      </c>
      <c r="E18" s="567"/>
      <c r="F18" s="183"/>
      <c r="G18" s="569"/>
      <c r="H18" s="581"/>
      <c r="I18" s="175"/>
      <c r="J18" s="569"/>
      <c r="K18" s="569"/>
      <c r="L18" s="567"/>
      <c r="M18" s="503"/>
      <c r="N18" s="569"/>
      <c r="O18" s="569"/>
      <c r="P18" s="569"/>
      <c r="Q18" s="569"/>
      <c r="R18" s="535"/>
      <c r="S18" s="535"/>
      <c r="T18" s="567"/>
      <c r="U18" s="533"/>
      <c r="V18" s="487" t="s">
        <v>205</v>
      </c>
      <c r="W18" s="583"/>
      <c r="X18" s="583"/>
      <c r="Y18" s="579"/>
      <c r="AA18" s="284" t="s">
        <v>110</v>
      </c>
      <c r="AB18" s="284" t="s">
        <v>111</v>
      </c>
      <c r="AC18" s="284" t="s">
        <v>113</v>
      </c>
      <c r="AE18" s="530" t="s">
        <v>129</v>
      </c>
      <c r="AF18" s="531"/>
    </row>
    <row r="19" spans="1:33" ht="15" customHeight="1" thickTop="1" x14ac:dyDescent="0.25">
      <c r="A19" s="558" t="s">
        <v>106</v>
      </c>
      <c r="B19" s="605" t="s">
        <v>39</v>
      </c>
      <c r="C19" s="608" t="s">
        <v>99</v>
      </c>
      <c r="D19" s="609"/>
      <c r="E19" s="467"/>
      <c r="F19" s="417" t="str">
        <f t="shared" ref="F19:F33" si="0">IF(OR(E19="",$G$11=""),"",E19*$G$11*($J$11/100+1)^($J$15-1))</f>
        <v/>
      </c>
      <c r="G19" s="468"/>
      <c r="H19" s="250" t="s">
        <v>119</v>
      </c>
      <c r="I19" s="208"/>
      <c r="J19" s="477" t="s">
        <v>119</v>
      </c>
      <c r="K19" s="477" t="s">
        <v>119</v>
      </c>
      <c r="L19" s="469" t="s">
        <v>119</v>
      </c>
      <c r="M19" s="414"/>
      <c r="N19" s="478" t="s">
        <v>119</v>
      </c>
      <c r="O19" s="470" t="s">
        <v>102</v>
      </c>
      <c r="P19" s="471" t="s">
        <v>102</v>
      </c>
      <c r="Q19" s="471" t="s">
        <v>102</v>
      </c>
      <c r="R19" s="472" t="s">
        <v>206</v>
      </c>
      <c r="S19" s="472" t="s">
        <v>207</v>
      </c>
      <c r="T19" s="473" t="s">
        <v>102</v>
      </c>
      <c r="U19" s="474" t="s">
        <v>102</v>
      </c>
      <c r="V19" s="472"/>
      <c r="W19" s="475" t="s">
        <v>102</v>
      </c>
      <c r="X19" s="475" t="s">
        <v>119</v>
      </c>
      <c r="Y19" s="476" t="s">
        <v>103</v>
      </c>
      <c r="AA19" s="298"/>
      <c r="AB19" s="284"/>
      <c r="AC19" s="284"/>
      <c r="AE19" s="300" t="str">
        <f>F19</f>
        <v/>
      </c>
      <c r="AF19" s="300">
        <f>G19</f>
        <v>0</v>
      </c>
      <c r="AG19" s="121" t="e">
        <f>SQRT(3)*(Q20+Q33)*0.22</f>
        <v>#VALUE!</v>
      </c>
    </row>
    <row r="20" spans="1:33" ht="15" customHeight="1" x14ac:dyDescent="0.25">
      <c r="A20" s="559"/>
      <c r="B20" s="606"/>
      <c r="C20" s="420" t="s">
        <v>100</v>
      </c>
      <c r="D20" s="454"/>
      <c r="E20" s="425"/>
      <c r="F20" s="417" t="str">
        <f t="shared" si="0"/>
        <v/>
      </c>
      <c r="G20" s="447"/>
      <c r="H20" s="217" t="str">
        <f>IF(AND(E20="",G20=""),"",SUM(F20:$G$31))</f>
        <v/>
      </c>
      <c r="I20" s="218"/>
      <c r="J20" s="215"/>
      <c r="K20" s="215"/>
      <c r="L20" s="226" t="str">
        <f>IF(J20="Duplex",VLOOKUP(M20,'Características dos Cabos MX'!$C$12:$I$14,7),(IF(J20="Triplex",VLOOKUP(M20,'Características dos Cabos MX'!$C$15:$J$20,8),(IF(J20="Quadruplex",VLOOKUP(M20,'Características dos Cabos MX'!$C$21:$K$27,9),(IF(J20="13",VLOOKUP(M20,'Características dos Cabos MX'!$C$15:$L$20,10),"")))))))</f>
        <v/>
      </c>
      <c r="M20" s="410" t="str">
        <f>IF(K20=10,"a",IF(K20=16,"b",IF(K20=25,"c",IF(K20=35,"d",IF(K20=50,"e",(IF(K20=70,"f",(IF(K20=120,"g","")))))))))</f>
        <v/>
      </c>
      <c r="N20" s="441"/>
      <c r="O20" s="219" t="str">
        <f>IF(OR(N20="",L20="",H20=""),"",N20*L20*H20)</f>
        <v/>
      </c>
      <c r="P20" s="220" t="str">
        <f>IF(O20="","",SUM($O$20:O20))</f>
        <v/>
      </c>
      <c r="Q20" s="220" t="str">
        <f>IF(H20="","",IF(J20="Quadruplex",H20*1000/($D$13*SQRT(3)),IF(J20="Triplex",H20*1000*SQRT(3)/($D$13*2),IF(J20="Duplex",H20*1000*SQRT(3)/$D$13,IF(J20="13",H20*1000/$D$15,IF(J20="12",H20*1000*2/$D$15,"erro"))))))</f>
        <v/>
      </c>
      <c r="R20" s="221" t="str">
        <f>IF(J20="Duplex",VLOOKUP(M20,'Características dos Cabos MX'!$C$12:$I$14,5),(IF(J20="Triplex",VLOOKUP(M20,'Características dos Cabos MX'!$C$15:$J$20,5),(IF(J20="Quadruplex",VLOOKUP(M20,'Características dos Cabos MX'!$C$21:$K$27,5),(IF(J20="13",VLOOKUP(M20,'Características dos Cabos MX'!$C$15:$L$20,5),"")))))))</f>
        <v/>
      </c>
      <c r="S20" s="221" t="str">
        <f>IF(J20="Duplex",VLOOKUP(M20,'Características dos Cabos MX'!$C$12:$I$14,6),(IF(J20="Triplex",VLOOKUP(M20,'Características dos Cabos MX'!$C$15:$J$20,6),(IF(J20="Quadruplex",VLOOKUP(M20,'Características dos Cabos MX'!$C$21:$K$27,6),(IF(J20="13",VLOOKUP(M20,'Características dos Cabos MX'!$C$15:$L$20,6),"")))))))</f>
        <v/>
      </c>
      <c r="T20" s="222" t="str">
        <f>IF(OR(Q20="",R20="",S20=""),"",IF($L$11="PE",Q20/R20,IF($L$11="XLPE",Q20/S20,"")))</f>
        <v/>
      </c>
      <c r="U20" s="223" t="str">
        <f>IF(J20="Duplex",VLOOKUP(M20,'Características dos Cabos MX'!$C$12:$I$14,2),(IF(J20="Triplex",VLOOKUP(M20,'Características dos Cabos MX'!$C$15:$J$20,2),(IF(J20="Quadruplex",VLOOKUP(M20,'Características dos Cabos MX'!$C$21:$K$27,2),(IF(J20="13",VLOOKUP(M20,'Características dos Cabos MX'!$C$15:$L$20,2),"")))))))</f>
        <v/>
      </c>
      <c r="V20" s="221" t="str">
        <f>IF(J20="Duplex",VLOOKUP(M20,'Características dos Cabos MX'!$C$12:$I$14,3),(IF(J20="Triplex",VLOOKUP(M20,'Características dos Cabos MX'!$C$15:$J$20,3),(IF(J20="Quadruplex",VLOOKUP(M20,'Características dos Cabos MX'!$C$21:$K$27,3),(IF(J20="13",VLOOKUP(M20,'Características dos Cabos MX'!$C$15:$L$20,3),"")))))))</f>
        <v/>
      </c>
      <c r="W20" s="224" t="str">
        <f>IF(OR(O20="",$G$15="",H20="",N20=""),"",IF(J20="Quadruplex",3*$L$13*U20*O20/1000*R20^2*8.76,IF(J20="Triplex",2*$L$13*U20*O20/1000*R20^2*8.76,IF(J20="Duplex",$L$13*U20*O20/1000*R20^2*8.76))))</f>
        <v/>
      </c>
      <c r="X20" s="224" t="str">
        <f>IF(OR(O20="",$G$15="",H20="",N20=""),"",IF(J20="Quadruplex",3*$L$13*V20*O20/1000*R20^2*8.76,IF(J20="triplex",2*$L$13*V20*O20/1000*R20^2*8.76,IF(J20="Duplex",$L$13*V20*O20/1000*R20^2*8.76))))</f>
        <v/>
      </c>
      <c r="Y20" s="225" t="str">
        <f>IF(OR(V20="",W20="",X20=""),"",IF($L$11="PE",W20,IF($L$11="XLPE",X20,"")))</f>
        <v/>
      </c>
      <c r="AA20" s="298">
        <f t="shared" ref="AA20:AA44" si="1">D20</f>
        <v>0</v>
      </c>
      <c r="AB20" s="298">
        <f t="shared" ref="AB20:AB86" si="2">K20</f>
        <v>0</v>
      </c>
      <c r="AC20" s="284">
        <f>SUM($N$20:N20)</f>
        <v>0</v>
      </c>
      <c r="AE20" s="299" t="str">
        <f t="shared" ref="AE20:AE44" si="3">IF(OR(E20="",$G$11=""),"",E20*$G$11*($J$11/100+1)^4)</f>
        <v/>
      </c>
      <c r="AF20" s="300">
        <f t="shared" ref="AF20:AF44" si="4">G20</f>
        <v>0</v>
      </c>
    </row>
    <row r="21" spans="1:33" ht="15" customHeight="1" x14ac:dyDescent="0.25">
      <c r="A21" s="559"/>
      <c r="B21" s="606"/>
      <c r="C21" s="455"/>
      <c r="D21" s="454"/>
      <c r="E21" s="425"/>
      <c r="F21" s="415" t="str">
        <f t="shared" si="0"/>
        <v/>
      </c>
      <c r="G21" s="447"/>
      <c r="H21" s="217" t="str">
        <f>IF(AND(E21="",G21=""),"",SUM(F21:$G$31))</f>
        <v/>
      </c>
      <c r="I21" s="218"/>
      <c r="J21" s="215"/>
      <c r="K21" s="215"/>
      <c r="L21" s="226" t="str">
        <f>IF(J21="Duplex",VLOOKUP(M21,'Características dos Cabos MX'!$C$12:$I$14,7),(IF(J21="Triplex",VLOOKUP(M21,'Características dos Cabos MX'!$C$15:$J$20,8),(IF(J21="Quadruplex",VLOOKUP(M21,'Características dos Cabos MX'!$C$21:$K$27,9),(IF(J21="13",VLOOKUP(M21,'Características dos Cabos MX'!$C$15:$L$20,10),"")))))))</f>
        <v/>
      </c>
      <c r="M21" s="410" t="str">
        <f t="shared" ref="M21:M86" si="5">IF(K21=10,"a",IF(K21=16,"b",IF(K21=25,"c",IF(K21=35,"d",IF(K21=50,"e",(IF(K21=70,"f",(IF(K21=120,"g","")))))))))</f>
        <v/>
      </c>
      <c r="N21" s="441"/>
      <c r="O21" s="219" t="str">
        <f t="shared" ref="O21:O44" si="6">IF(OR(N21="",L21="",H21=""),"",N21*L21*H21)</f>
        <v/>
      </c>
      <c r="P21" s="220" t="str">
        <f>IF(O21="","",SUM($O$20:O21))</f>
        <v/>
      </c>
      <c r="Q21" s="220" t="str">
        <f t="shared" ref="Q21:Q86" si="7">IF(H21="","",IF(J21="Quadruplex",H21*1000/($D$13*SQRT(3)),IF(J21="Triplex",H21*1000*SQRT(3)/($D$13*2),IF(J21="Duplex",H21*1000*SQRT(3)/$D$13,IF(J21="13",H21*1000/$D$15,IF(J21="12",H21*1000*2/$D$15,"erro"))))))</f>
        <v/>
      </c>
      <c r="R21" s="221" t="str">
        <f>IF(J21="Duplex",VLOOKUP(M21,'Características dos Cabos MX'!$C$12:$I$14,5),(IF(J21="Triplex",VLOOKUP(M21,'Características dos Cabos MX'!$C$15:$J$20,5),(IF(J21="Quadruplex",VLOOKUP(M21,'Características dos Cabos MX'!$C$21:$K$27,5),(IF(J21="13",VLOOKUP(M21,'Características dos Cabos MX'!$C$15:$L$20,5),"")))))))</f>
        <v/>
      </c>
      <c r="S21" s="221" t="str">
        <f>IF(J21="Duplex",VLOOKUP(M21,'Características dos Cabos MX'!$C$12:$I$14,6),(IF(J21="Triplex",VLOOKUP(M21,'Características dos Cabos MX'!$C$15:$J$20,6),(IF(J21="Quadruplex",VLOOKUP(M21,'Características dos Cabos MX'!$C$21:$K$27,6),(IF(J21="13",VLOOKUP(M21,'Características dos Cabos MX'!$C$15:$L$20,6),"")))))))</f>
        <v/>
      </c>
      <c r="T21" s="222" t="str">
        <f t="shared" ref="T21:T44" si="8">IF(OR(Q21="",R21="",S21=""),"",IF($L$11="PE",Q21/R21,IF($L$11="XLPE",Q21/S21,"")))</f>
        <v/>
      </c>
      <c r="U21" s="223" t="str">
        <f>IF(J21="Duplex",VLOOKUP(M21,'Características dos Cabos MX'!$C$12:$I$14,2),(IF(J21="Triplex",VLOOKUP(M21,'Características dos Cabos MX'!$C$15:$J$20,2),(IF(J21="Quadruplex",VLOOKUP(M21,'Características dos Cabos MX'!$C$21:$K$27,2),(IF(J21="13",VLOOKUP(M21,'Características dos Cabos MX'!$C$15:$L$20,2),"")))))))</f>
        <v/>
      </c>
      <c r="V21" s="221" t="str">
        <f>IF(J21="Duplex",VLOOKUP(M21,'Características dos Cabos MX'!$C$12:$I$14,3),(IF(J21="Triplex",VLOOKUP(M21,'Características dos Cabos MX'!$C$15:$J$20,3),(IF(J21="Quadruplex",VLOOKUP(M21,'Características dos Cabos MX'!$C$21:$K$27,3),(IF(J21="13",VLOOKUP(M21,'Características dos Cabos MX'!$C$15:$L$20,3),"")))))))</f>
        <v/>
      </c>
      <c r="W21" s="224" t="str">
        <f t="shared" ref="W21:W44" si="9">IF(OR(O21="",$G$15="",H21="",N21=""),"",IF(J21="Quadruplex",3*$L$13*U21*O21/1000*R21^2*8.76,IF(J21="Triplex",2*$L$13*U21*O21/1000*R21^2*8.76,IF(J21="Duplex",$L$13*U21*O21/1000*R21^2*8.76))))</f>
        <v/>
      </c>
      <c r="X21" s="224" t="str">
        <f t="shared" ref="X21:X44" si="10">IF(OR(O21="",$G$15="",H21="",N21=""),"",IF(J21="Quadruplex",3*$L$13*V21*O21/1000*R21^2*8.76,IF(J21="triplex",2*$L$13*V21*O21/1000*R21^2*8.76,IF(J21="Duplex",$L$13*V21*O21/1000*R21^2*8.76))))</f>
        <v/>
      </c>
      <c r="Y21" s="225" t="str">
        <f t="shared" ref="Y21:Y44" si="11">IF(OR(V21="",W21="",X21=""),"",IF($L$11="PE",W21,IF($L$11="XLPE",X21,"")))</f>
        <v/>
      </c>
      <c r="AA21" s="298">
        <f t="shared" si="1"/>
        <v>0</v>
      </c>
      <c r="AB21" s="298">
        <f t="shared" si="2"/>
        <v>0</v>
      </c>
      <c r="AC21" s="284">
        <f>SUM($N$20:N21)</f>
        <v>0</v>
      </c>
      <c r="AE21" s="299" t="str">
        <f t="shared" si="3"/>
        <v/>
      </c>
      <c r="AF21" s="300">
        <f t="shared" si="4"/>
        <v>0</v>
      </c>
    </row>
    <row r="22" spans="1:33" ht="15" customHeight="1" x14ac:dyDescent="0.25">
      <c r="A22" s="559"/>
      <c r="B22" s="606"/>
      <c r="C22" s="455"/>
      <c r="D22" s="454"/>
      <c r="E22" s="425"/>
      <c r="F22" s="415" t="str">
        <f t="shared" si="0"/>
        <v/>
      </c>
      <c r="G22" s="447"/>
      <c r="H22" s="217" t="str">
        <f>IF(AND(E22="",G22=""),"",SUM(F22:$G$31))</f>
        <v/>
      </c>
      <c r="I22" s="218"/>
      <c r="J22" s="215"/>
      <c r="K22" s="215"/>
      <c r="L22" s="226" t="str">
        <f>IF(J22="Duplex",VLOOKUP(M22,'Características dos Cabos MX'!$C$12:$I$14,7),(IF(J22="Triplex",VLOOKUP(M22,'Características dos Cabos MX'!$C$15:$J$20,8),(IF(J22="Quadruplex",VLOOKUP(M22,'Características dos Cabos MX'!$C$21:$K$27,9),(IF(J22="13",VLOOKUP(M22,'Características dos Cabos MX'!$C$15:$L$20,10),"")))))))</f>
        <v/>
      </c>
      <c r="M22" s="410" t="str">
        <f t="shared" si="5"/>
        <v/>
      </c>
      <c r="N22" s="441"/>
      <c r="O22" s="219" t="str">
        <f t="shared" si="6"/>
        <v/>
      </c>
      <c r="P22" s="220" t="str">
        <f>IF(O22="","",SUM($O$20:O22))</f>
        <v/>
      </c>
      <c r="Q22" s="220" t="str">
        <f t="shared" si="7"/>
        <v/>
      </c>
      <c r="R22" s="221" t="str">
        <f>IF(J22="Duplex",VLOOKUP(M22,'Características dos Cabos MX'!$C$12:$I$14,5),(IF(J22="Triplex",VLOOKUP(M22,'Características dos Cabos MX'!$C$15:$J$20,5),(IF(J22="Quadruplex",VLOOKUP(M22,'Características dos Cabos MX'!$C$21:$K$27,5),(IF(J22="13",VLOOKUP(M22,'Características dos Cabos MX'!$C$15:$L$20,5),"")))))))</f>
        <v/>
      </c>
      <c r="S22" s="221" t="str">
        <f>IF(J22="Duplex",VLOOKUP(M22,'Características dos Cabos MX'!$C$12:$I$14,6),(IF(J22="Triplex",VLOOKUP(M22,'Características dos Cabos MX'!$C$15:$J$20,6),(IF(J22="Quadruplex",VLOOKUP(M22,'Características dos Cabos MX'!$C$21:$K$27,6),(IF(J22="13",VLOOKUP(M22,'Características dos Cabos MX'!$C$15:$L$20,6),"")))))))</f>
        <v/>
      </c>
      <c r="T22" s="222" t="str">
        <f t="shared" si="8"/>
        <v/>
      </c>
      <c r="U22" s="223" t="str">
        <f>IF(J22="Duplex",VLOOKUP(M22,'Características dos Cabos MX'!$C$12:$I$14,2),(IF(J22="Triplex",VLOOKUP(M22,'Características dos Cabos MX'!$C$15:$J$20,2),(IF(J22="Quadruplex",VLOOKUP(M22,'Características dos Cabos MX'!$C$21:$K$27,2),(IF(J22="13",VLOOKUP(M22,'Características dos Cabos MX'!$C$15:$L$20,2),"")))))))</f>
        <v/>
      </c>
      <c r="V22" s="221" t="str">
        <f>IF(J22="Duplex",VLOOKUP(M22,'Características dos Cabos MX'!$C$12:$I$14,3),(IF(J22="Triplex",VLOOKUP(M22,'Características dos Cabos MX'!$C$15:$J$20,3),(IF(J22="Quadruplex",VLOOKUP(M22,'Características dos Cabos MX'!$C$21:$K$27,3),(IF(J22="13",VLOOKUP(M22,'Características dos Cabos MX'!$C$15:$L$20,3),"")))))))</f>
        <v/>
      </c>
      <c r="W22" s="224" t="str">
        <f t="shared" si="9"/>
        <v/>
      </c>
      <c r="X22" s="224" t="str">
        <f t="shared" si="10"/>
        <v/>
      </c>
      <c r="Y22" s="225" t="str">
        <f t="shared" si="11"/>
        <v/>
      </c>
      <c r="AA22" s="298">
        <f t="shared" si="1"/>
        <v>0</v>
      </c>
      <c r="AB22" s="298">
        <f t="shared" si="2"/>
        <v>0</v>
      </c>
      <c r="AC22" s="284">
        <f>SUM($N$20:N22)</f>
        <v>0</v>
      </c>
      <c r="AE22" s="299" t="str">
        <f t="shared" si="3"/>
        <v/>
      </c>
      <c r="AF22" s="300">
        <f t="shared" si="4"/>
        <v>0</v>
      </c>
    </row>
    <row r="23" spans="1:33" ht="15" customHeight="1" x14ac:dyDescent="0.25">
      <c r="A23" s="559"/>
      <c r="B23" s="606"/>
      <c r="C23" s="455"/>
      <c r="D23" s="454"/>
      <c r="E23" s="425"/>
      <c r="F23" s="415" t="str">
        <f t="shared" si="0"/>
        <v/>
      </c>
      <c r="G23" s="447"/>
      <c r="H23" s="217" t="str">
        <f>IF(AND(E23="",G23=""),"",SUM(F23:$G$31))</f>
        <v/>
      </c>
      <c r="I23" s="218"/>
      <c r="J23" s="215"/>
      <c r="K23" s="215"/>
      <c r="L23" s="226" t="str">
        <f>IF(J23="Duplex",VLOOKUP(M23,'Características dos Cabos MX'!$C$12:$I$14,7),(IF(J23="Triplex",VLOOKUP(M23,'Características dos Cabos MX'!$C$15:$J$20,8),(IF(J23="Quadruplex",VLOOKUP(M23,'Características dos Cabos MX'!$C$21:$K$27,9),(IF(J23="13",VLOOKUP(M23,'Características dos Cabos MX'!$C$15:$L$20,10),"")))))))</f>
        <v/>
      </c>
      <c r="M23" s="410" t="str">
        <f t="shared" si="5"/>
        <v/>
      </c>
      <c r="N23" s="441"/>
      <c r="O23" s="219" t="str">
        <f t="shared" si="6"/>
        <v/>
      </c>
      <c r="P23" s="220" t="str">
        <f>IF(O23="","",SUM($O$20:O23))</f>
        <v/>
      </c>
      <c r="Q23" s="220" t="str">
        <f t="shared" si="7"/>
        <v/>
      </c>
      <c r="R23" s="221" t="str">
        <f>IF(J23="Duplex",VLOOKUP(M23,'Características dos Cabos MX'!$C$12:$I$14,5),(IF(J23="Triplex",VLOOKUP(M23,'Características dos Cabos MX'!$C$15:$J$20,5),(IF(J23="Quadruplex",VLOOKUP(M23,'Características dos Cabos MX'!$C$21:$K$27,5),(IF(J23="13",VLOOKUP(M23,'Características dos Cabos MX'!$C$15:$L$20,5),"")))))))</f>
        <v/>
      </c>
      <c r="S23" s="221" t="str">
        <f>IF(J23="Duplex",VLOOKUP(M23,'Características dos Cabos MX'!$C$12:$I$14,6),(IF(J23="Triplex",VLOOKUP(M23,'Características dos Cabos MX'!$C$15:$J$20,6),(IF(J23="Quadruplex",VLOOKUP(M23,'Características dos Cabos MX'!$C$21:$K$27,6),(IF(J23="13",VLOOKUP(M23,'Características dos Cabos MX'!$C$15:$L$20,6),"")))))))</f>
        <v/>
      </c>
      <c r="T23" s="222" t="str">
        <f t="shared" si="8"/>
        <v/>
      </c>
      <c r="U23" s="223" t="str">
        <f>IF(J23="Duplex",VLOOKUP(M23,'Características dos Cabos MX'!$C$12:$I$14,2),(IF(J23="Triplex",VLOOKUP(M23,'Características dos Cabos MX'!$C$15:$J$20,2),(IF(J23="Quadruplex",VLOOKUP(M23,'Características dos Cabos MX'!$C$21:$K$27,2),(IF(J23="13",VLOOKUP(M23,'Características dos Cabos MX'!$C$15:$L$20,2),"")))))))</f>
        <v/>
      </c>
      <c r="V23" s="221" t="str">
        <f>IF(J23="Duplex",VLOOKUP(M23,'Características dos Cabos MX'!$C$12:$I$14,3),(IF(J23="Triplex",VLOOKUP(M23,'Características dos Cabos MX'!$C$15:$J$20,3),(IF(J23="Quadruplex",VLOOKUP(M23,'Características dos Cabos MX'!$C$21:$K$27,3),(IF(J23="13",VLOOKUP(M23,'Características dos Cabos MX'!$C$15:$L$20,3),"")))))))</f>
        <v/>
      </c>
      <c r="W23" s="224" t="str">
        <f t="shared" si="9"/>
        <v/>
      </c>
      <c r="X23" s="224" t="str">
        <f t="shared" si="10"/>
        <v/>
      </c>
      <c r="Y23" s="225" t="str">
        <f t="shared" si="11"/>
        <v/>
      </c>
      <c r="AA23" s="298">
        <f t="shared" si="1"/>
        <v>0</v>
      </c>
      <c r="AB23" s="298">
        <f t="shared" si="2"/>
        <v>0</v>
      </c>
      <c r="AC23" s="284">
        <f>SUM($N$20:N23)</f>
        <v>0</v>
      </c>
      <c r="AE23" s="299" t="str">
        <f t="shared" si="3"/>
        <v/>
      </c>
      <c r="AF23" s="300">
        <f t="shared" si="4"/>
        <v>0</v>
      </c>
    </row>
    <row r="24" spans="1:33" ht="15" customHeight="1" x14ac:dyDescent="0.25">
      <c r="A24" s="559"/>
      <c r="B24" s="606"/>
      <c r="C24" s="455"/>
      <c r="D24" s="454"/>
      <c r="E24" s="425"/>
      <c r="F24" s="415" t="str">
        <f t="shared" si="0"/>
        <v/>
      </c>
      <c r="G24" s="447"/>
      <c r="H24" s="217" t="str">
        <f>IF(AND(E24="",G24=""),"",SUM(F24:$G$31))</f>
        <v/>
      </c>
      <c r="I24" s="218"/>
      <c r="J24" s="215"/>
      <c r="K24" s="215"/>
      <c r="L24" s="226" t="str">
        <f>IF(J24="Duplex",VLOOKUP(M24,'Características dos Cabos MX'!$C$12:$I$14,7),(IF(J24="Triplex",VLOOKUP(M24,'Características dos Cabos MX'!$C$15:$J$20,8),(IF(J24="Quadruplex",VLOOKUP(M24,'Características dos Cabos MX'!$C$21:$K$27,9),(IF(J24="13",VLOOKUP(M24,'Características dos Cabos MX'!$C$15:$L$20,10),"")))))))</f>
        <v/>
      </c>
      <c r="M24" s="410" t="str">
        <f t="shared" si="5"/>
        <v/>
      </c>
      <c r="N24" s="441"/>
      <c r="O24" s="219" t="str">
        <f t="shared" si="6"/>
        <v/>
      </c>
      <c r="P24" s="220" t="str">
        <f>IF(O24="","",SUM($O$20:O24))</f>
        <v/>
      </c>
      <c r="Q24" s="220" t="str">
        <f t="shared" si="7"/>
        <v/>
      </c>
      <c r="R24" s="221" t="str">
        <f>IF(J24="Duplex",VLOOKUP(M24,'Características dos Cabos MX'!$C$12:$I$14,5),(IF(J24="Triplex",VLOOKUP(M24,'Características dos Cabos MX'!$C$15:$J$20,5),(IF(J24="Quadruplex",VLOOKUP(M24,'Características dos Cabos MX'!$C$21:$K$27,5),(IF(J24="13",VLOOKUP(M24,'Características dos Cabos MX'!$C$15:$L$20,5),"")))))))</f>
        <v/>
      </c>
      <c r="S24" s="221" t="str">
        <f>IF(J24="Duplex",VLOOKUP(M24,'Características dos Cabos MX'!$C$12:$I$14,6),(IF(J24="Triplex",VLOOKUP(M24,'Características dos Cabos MX'!$C$15:$J$20,6),(IF(J24="Quadruplex",VLOOKUP(M24,'Características dos Cabos MX'!$C$21:$K$27,6),(IF(J24="13",VLOOKUP(M24,'Características dos Cabos MX'!$C$15:$L$20,6),"")))))))</f>
        <v/>
      </c>
      <c r="T24" s="222" t="str">
        <f t="shared" si="8"/>
        <v/>
      </c>
      <c r="U24" s="223" t="str">
        <f>IF(J24="Duplex",VLOOKUP(M24,'Características dos Cabos MX'!$C$12:$I$14,2),(IF(J24="Triplex",VLOOKUP(M24,'Características dos Cabos MX'!$C$15:$J$20,2),(IF(J24="Quadruplex",VLOOKUP(M24,'Características dos Cabos MX'!$C$21:$K$27,2),(IF(J24="13",VLOOKUP(M24,'Características dos Cabos MX'!$C$15:$L$20,2),"")))))))</f>
        <v/>
      </c>
      <c r="V24" s="221" t="str">
        <f>IF(J24="Duplex",VLOOKUP(M24,'Características dos Cabos MX'!$C$12:$I$14,3),(IF(J24="Triplex",VLOOKUP(M24,'Características dos Cabos MX'!$C$15:$J$20,3),(IF(J24="Quadruplex",VLOOKUP(M24,'Características dos Cabos MX'!$C$21:$K$27,3),(IF(J24="13",VLOOKUP(M24,'Características dos Cabos MX'!$C$15:$L$20,3),"")))))))</f>
        <v/>
      </c>
      <c r="W24" s="224" t="str">
        <f t="shared" si="9"/>
        <v/>
      </c>
      <c r="X24" s="224" t="str">
        <f t="shared" si="10"/>
        <v/>
      </c>
      <c r="Y24" s="225" t="str">
        <f t="shared" si="11"/>
        <v/>
      </c>
      <c r="AA24" s="298">
        <f t="shared" si="1"/>
        <v>0</v>
      </c>
      <c r="AB24" s="298">
        <f t="shared" si="2"/>
        <v>0</v>
      </c>
      <c r="AC24" s="284">
        <f>SUM($N$20:N24)</f>
        <v>0</v>
      </c>
      <c r="AE24" s="299" t="str">
        <f t="shared" si="3"/>
        <v/>
      </c>
      <c r="AF24" s="300">
        <f t="shared" si="4"/>
        <v>0</v>
      </c>
    </row>
    <row r="25" spans="1:33" ht="15" customHeight="1" x14ac:dyDescent="0.25">
      <c r="A25" s="559"/>
      <c r="B25" s="606"/>
      <c r="C25" s="455"/>
      <c r="D25" s="454"/>
      <c r="E25" s="425"/>
      <c r="F25" s="415" t="str">
        <f t="shared" si="0"/>
        <v/>
      </c>
      <c r="G25" s="447"/>
      <c r="H25" s="217" t="str">
        <f>IF(AND(E25="",G25=""),"",SUM(F25:$G$31))</f>
        <v/>
      </c>
      <c r="I25" s="218"/>
      <c r="J25" s="215"/>
      <c r="K25" s="215"/>
      <c r="L25" s="226" t="str">
        <f>IF(J25="Duplex",VLOOKUP(M25,'Características dos Cabos MX'!$C$12:$I$14,7),(IF(J25="Triplex",VLOOKUP(M25,'Características dos Cabos MX'!$C$15:$J$20,8),(IF(J25="Quadruplex",VLOOKUP(M25,'Características dos Cabos MX'!$C$21:$K$27,9),(IF(J25="13",VLOOKUP(M25,'Características dos Cabos MX'!$C$15:$L$20,10),"")))))))</f>
        <v/>
      </c>
      <c r="M25" s="410" t="str">
        <f t="shared" si="5"/>
        <v/>
      </c>
      <c r="N25" s="441"/>
      <c r="O25" s="219" t="str">
        <f t="shared" si="6"/>
        <v/>
      </c>
      <c r="P25" s="220" t="str">
        <f>IF(O25="","",SUM($O$20:O25))</f>
        <v/>
      </c>
      <c r="Q25" s="220" t="str">
        <f t="shared" si="7"/>
        <v/>
      </c>
      <c r="R25" s="221" t="str">
        <f>IF(J25="Duplex",VLOOKUP(M25,'Características dos Cabos MX'!$C$12:$I$14,5),(IF(J25="Triplex",VLOOKUP(M25,'Características dos Cabos MX'!$C$15:$J$20,5),(IF(J25="Quadruplex",VLOOKUP(M25,'Características dos Cabos MX'!$C$21:$K$27,5),(IF(J25="13",VLOOKUP(M25,'Características dos Cabos MX'!$C$15:$L$20,5),"")))))))</f>
        <v/>
      </c>
      <c r="S25" s="221" t="str">
        <f>IF(J25="Duplex",VLOOKUP(M25,'Características dos Cabos MX'!$C$12:$I$14,6),(IF(J25="Triplex",VLOOKUP(M25,'Características dos Cabos MX'!$C$15:$J$20,6),(IF(J25="Quadruplex",VLOOKUP(M25,'Características dos Cabos MX'!$C$21:$K$27,6),(IF(J25="13",VLOOKUP(M25,'Características dos Cabos MX'!$C$15:$L$20,6),"")))))))</f>
        <v/>
      </c>
      <c r="T25" s="222" t="str">
        <f t="shared" si="8"/>
        <v/>
      </c>
      <c r="U25" s="223" t="str">
        <f>IF(J25="Duplex",VLOOKUP(M25,'Características dos Cabos MX'!$C$12:$I$14,2),(IF(J25="Triplex",VLOOKUP(M25,'Características dos Cabos MX'!$C$15:$J$20,2),(IF(J25="Quadruplex",VLOOKUP(M25,'Características dos Cabos MX'!$C$21:$K$27,2),(IF(J25="13",VLOOKUP(M25,'Características dos Cabos MX'!$C$15:$L$20,2),"")))))))</f>
        <v/>
      </c>
      <c r="V25" s="221" t="str">
        <f>IF(J25="Duplex",VLOOKUP(M25,'Características dos Cabos MX'!$C$12:$I$14,3),(IF(J25="Triplex",VLOOKUP(M25,'Características dos Cabos MX'!$C$15:$J$20,3),(IF(J25="Quadruplex",VLOOKUP(M25,'Características dos Cabos MX'!$C$21:$K$27,3),(IF(J25="13",VLOOKUP(M25,'Características dos Cabos MX'!$C$15:$L$20,3),"")))))))</f>
        <v/>
      </c>
      <c r="W25" s="224" t="str">
        <f t="shared" si="9"/>
        <v/>
      </c>
      <c r="X25" s="224" t="str">
        <f t="shared" si="10"/>
        <v/>
      </c>
      <c r="Y25" s="225" t="str">
        <f t="shared" si="11"/>
        <v/>
      </c>
      <c r="AA25" s="298">
        <f t="shared" si="1"/>
        <v>0</v>
      </c>
      <c r="AB25" s="298">
        <f t="shared" si="2"/>
        <v>0</v>
      </c>
      <c r="AC25" s="284">
        <f>SUM($N$20:N25)</f>
        <v>0</v>
      </c>
      <c r="AE25" s="299" t="str">
        <f t="shared" si="3"/>
        <v/>
      </c>
      <c r="AF25" s="300">
        <f t="shared" si="4"/>
        <v>0</v>
      </c>
    </row>
    <row r="26" spans="1:33" ht="15" customHeight="1" x14ac:dyDescent="0.25">
      <c r="A26" s="559"/>
      <c r="B26" s="606"/>
      <c r="C26" s="455"/>
      <c r="D26" s="454"/>
      <c r="E26" s="425"/>
      <c r="F26" s="415" t="str">
        <f t="shared" si="0"/>
        <v/>
      </c>
      <c r="G26" s="447"/>
      <c r="H26" s="217" t="str">
        <f>IF(AND(E26="",G26=""),"",SUM(F26:$G$31))</f>
        <v/>
      </c>
      <c r="I26" s="218"/>
      <c r="J26" s="215"/>
      <c r="K26" s="215"/>
      <c r="L26" s="226" t="str">
        <f>IF(J26="Duplex",VLOOKUP(M26,'Características dos Cabos MX'!$C$12:$I$14,7),(IF(J26="Triplex",VLOOKUP(M26,'Características dos Cabos MX'!$C$15:$J$20,8),(IF(J26="Quadruplex",VLOOKUP(M26,'Características dos Cabos MX'!$C$21:$K$27,9),(IF(J26="13",VLOOKUP(M26,'Características dos Cabos MX'!$C$15:$L$20,10),"")))))))</f>
        <v/>
      </c>
      <c r="M26" s="410" t="str">
        <f t="shared" si="5"/>
        <v/>
      </c>
      <c r="N26" s="441"/>
      <c r="O26" s="219" t="str">
        <f t="shared" si="6"/>
        <v/>
      </c>
      <c r="P26" s="220" t="str">
        <f>IF(O26="","",SUM($O$20:O26))</f>
        <v/>
      </c>
      <c r="Q26" s="220" t="str">
        <f t="shared" si="7"/>
        <v/>
      </c>
      <c r="R26" s="221" t="str">
        <f>IF(J26="Duplex",VLOOKUP(M26,'Características dos Cabos MX'!$C$12:$I$14,5),(IF(J26="Triplex",VLOOKUP(M26,'Características dos Cabos MX'!$C$15:$J$20,5),(IF(J26="Quadruplex",VLOOKUP(M26,'Características dos Cabos MX'!$C$21:$K$27,5),(IF(J26="13",VLOOKUP(M26,'Características dos Cabos MX'!$C$15:$L$20,5),"")))))))</f>
        <v/>
      </c>
      <c r="S26" s="221" t="str">
        <f>IF(J26="Duplex",VLOOKUP(M26,'Características dos Cabos MX'!$C$12:$I$14,6),(IF(J26="Triplex",VLOOKUP(M26,'Características dos Cabos MX'!$C$15:$J$20,6),(IF(J26="Quadruplex",VLOOKUP(M26,'Características dos Cabos MX'!$C$21:$K$27,6),(IF(J26="13",VLOOKUP(M26,'Características dos Cabos MX'!$C$15:$L$20,6),"")))))))</f>
        <v/>
      </c>
      <c r="T26" s="222" t="str">
        <f t="shared" si="8"/>
        <v/>
      </c>
      <c r="U26" s="223" t="str">
        <f>IF(J26="Duplex",VLOOKUP(M26,'Características dos Cabos MX'!$C$12:$I$14,2),(IF(J26="Triplex",VLOOKUP(M26,'Características dos Cabos MX'!$C$15:$J$20,2),(IF(J26="Quadruplex",VLOOKUP(M26,'Características dos Cabos MX'!$C$21:$K$27,2),(IF(J26="13",VLOOKUP(M26,'Características dos Cabos MX'!$C$15:$L$20,2),"")))))))</f>
        <v/>
      </c>
      <c r="V26" s="221" t="str">
        <f>IF(J26="Duplex",VLOOKUP(M26,'Características dos Cabos MX'!$C$12:$I$14,3),(IF(J26="Triplex",VLOOKUP(M26,'Características dos Cabos MX'!$C$15:$J$20,3),(IF(J26="Quadruplex",VLOOKUP(M26,'Características dos Cabos MX'!$C$21:$K$27,3),(IF(J26="13",VLOOKUP(M26,'Características dos Cabos MX'!$C$15:$L$20,3),"")))))))</f>
        <v/>
      </c>
      <c r="W26" s="224" t="str">
        <f t="shared" si="9"/>
        <v/>
      </c>
      <c r="X26" s="224" t="str">
        <f t="shared" si="10"/>
        <v/>
      </c>
      <c r="Y26" s="225" t="str">
        <f t="shared" si="11"/>
        <v/>
      </c>
      <c r="AA26" s="298">
        <f t="shared" si="1"/>
        <v>0</v>
      </c>
      <c r="AB26" s="298">
        <f t="shared" si="2"/>
        <v>0</v>
      </c>
      <c r="AC26" s="284">
        <f>SUM($N$20:N26)</f>
        <v>0</v>
      </c>
      <c r="AE26" s="299" t="str">
        <f t="shared" si="3"/>
        <v/>
      </c>
      <c r="AF26" s="300">
        <f t="shared" si="4"/>
        <v>0</v>
      </c>
    </row>
    <row r="27" spans="1:33" ht="15" customHeight="1" x14ac:dyDescent="0.25">
      <c r="A27" s="559"/>
      <c r="B27" s="606"/>
      <c r="C27" s="455"/>
      <c r="D27" s="454"/>
      <c r="E27" s="425"/>
      <c r="F27" s="415" t="str">
        <f t="shared" si="0"/>
        <v/>
      </c>
      <c r="G27" s="447"/>
      <c r="H27" s="217" t="str">
        <f>IF(AND(E27="",G27=""),"",SUM(F27:$G$31))</f>
        <v/>
      </c>
      <c r="I27" s="218"/>
      <c r="J27" s="215"/>
      <c r="K27" s="215"/>
      <c r="L27" s="226" t="str">
        <f>IF(J27="Duplex",VLOOKUP(M27,'Características dos Cabos MX'!$C$12:$I$14,7),(IF(J27="Triplex",VLOOKUP(M27,'Características dos Cabos MX'!$C$15:$J$20,8),(IF(J27="Quadruplex",VLOOKUP(M27,'Características dos Cabos MX'!$C$21:$K$27,9),(IF(J27="13",VLOOKUP(M27,'Características dos Cabos MX'!$C$15:$L$20,10),"")))))))</f>
        <v/>
      </c>
      <c r="M27" s="410" t="str">
        <f t="shared" si="5"/>
        <v/>
      </c>
      <c r="N27" s="441"/>
      <c r="O27" s="219" t="str">
        <f t="shared" si="6"/>
        <v/>
      </c>
      <c r="P27" s="220" t="str">
        <f>IF(O27="","",SUM($O$20:O27))</f>
        <v/>
      </c>
      <c r="Q27" s="220" t="str">
        <f t="shared" si="7"/>
        <v/>
      </c>
      <c r="R27" s="221" t="str">
        <f>IF(J27="Duplex",VLOOKUP(M27,'Características dos Cabos MX'!$C$12:$I$14,5),(IF(J27="Triplex",VLOOKUP(M27,'Características dos Cabos MX'!$C$15:$J$20,5),(IF(J27="Quadruplex",VLOOKUP(M27,'Características dos Cabos MX'!$C$21:$K$27,5),(IF(J27="13",VLOOKUP(M27,'Características dos Cabos MX'!$C$15:$L$20,5),"")))))))</f>
        <v/>
      </c>
      <c r="S27" s="221" t="str">
        <f>IF(J27="Duplex",VLOOKUP(M27,'Características dos Cabos MX'!$C$12:$I$14,6),(IF(J27="Triplex",VLOOKUP(M27,'Características dos Cabos MX'!$C$15:$J$20,6),(IF(J27="Quadruplex",VLOOKUP(M27,'Características dos Cabos MX'!$C$21:$K$27,6),(IF(J27="13",VLOOKUP(M27,'Características dos Cabos MX'!$C$15:$L$20,6),"")))))))</f>
        <v/>
      </c>
      <c r="T27" s="222" t="str">
        <f t="shared" si="8"/>
        <v/>
      </c>
      <c r="U27" s="223" t="str">
        <f>IF(J27="Duplex",VLOOKUP(M27,'Características dos Cabos MX'!$C$12:$I$14,2),(IF(J27="Triplex",VLOOKUP(M27,'Características dos Cabos MX'!$C$15:$J$20,2),(IF(J27="Quadruplex",VLOOKUP(M27,'Características dos Cabos MX'!$C$21:$K$27,2),(IF(J27="13",VLOOKUP(M27,'Características dos Cabos MX'!$C$15:$L$20,2),"")))))))</f>
        <v/>
      </c>
      <c r="V27" s="221" t="str">
        <f>IF(J27="Duplex",VLOOKUP(M27,'Características dos Cabos MX'!$C$12:$I$14,3),(IF(J27="Triplex",VLOOKUP(M27,'Características dos Cabos MX'!$C$15:$J$20,3),(IF(J27="Quadruplex",VLOOKUP(M27,'Características dos Cabos MX'!$C$21:$K$27,3),(IF(J27="13",VLOOKUP(M27,'Características dos Cabos MX'!$C$15:$L$20,3),"")))))))</f>
        <v/>
      </c>
      <c r="W27" s="224" t="str">
        <f t="shared" si="9"/>
        <v/>
      </c>
      <c r="X27" s="224" t="str">
        <f t="shared" si="10"/>
        <v/>
      </c>
      <c r="Y27" s="225" t="str">
        <f t="shared" si="11"/>
        <v/>
      </c>
      <c r="AA27" s="298">
        <f t="shared" si="1"/>
        <v>0</v>
      </c>
      <c r="AB27" s="298">
        <f t="shared" si="2"/>
        <v>0</v>
      </c>
      <c r="AC27" s="284">
        <f>SUM($N$20:N27)</f>
        <v>0</v>
      </c>
      <c r="AE27" s="299" t="str">
        <f t="shared" si="3"/>
        <v/>
      </c>
      <c r="AF27" s="300">
        <f t="shared" si="4"/>
        <v>0</v>
      </c>
    </row>
    <row r="28" spans="1:33" ht="15" customHeight="1" x14ac:dyDescent="0.25">
      <c r="A28" s="559"/>
      <c r="B28" s="606"/>
      <c r="C28" s="455"/>
      <c r="D28" s="454"/>
      <c r="E28" s="425"/>
      <c r="F28" s="415" t="str">
        <f t="shared" si="0"/>
        <v/>
      </c>
      <c r="G28" s="447"/>
      <c r="H28" s="217" t="str">
        <f>IF(AND(E28="",G28=""),"",SUM(F28:$G$31))</f>
        <v/>
      </c>
      <c r="I28" s="218"/>
      <c r="J28" s="215"/>
      <c r="K28" s="215"/>
      <c r="L28" s="226" t="str">
        <f>IF(J28="Duplex",VLOOKUP(M28,'Características dos Cabos MX'!$C$12:$I$14,7),(IF(J28="Triplex",VLOOKUP(M28,'Características dos Cabos MX'!$C$15:$J$20,8),(IF(J28="Quadruplex",VLOOKUP(M28,'Características dos Cabos MX'!$C$21:$K$27,9),(IF(J28="13",VLOOKUP(M28,'Características dos Cabos MX'!$C$15:$L$20,10),"")))))))</f>
        <v/>
      </c>
      <c r="M28" s="410" t="str">
        <f t="shared" si="5"/>
        <v/>
      </c>
      <c r="N28" s="441"/>
      <c r="O28" s="219" t="str">
        <f t="shared" si="6"/>
        <v/>
      </c>
      <c r="P28" s="220" t="str">
        <f>IF(O28="","",SUM($O$20:O28))</f>
        <v/>
      </c>
      <c r="Q28" s="220" t="str">
        <f t="shared" si="7"/>
        <v/>
      </c>
      <c r="R28" s="221" t="str">
        <f>IF(J28="Duplex",VLOOKUP(M28,'Características dos Cabos MX'!$C$12:$I$14,5),(IF(J28="Triplex",VLOOKUP(M28,'Características dos Cabos MX'!$C$15:$J$20,5),(IF(J28="Quadruplex",VLOOKUP(M28,'Características dos Cabos MX'!$C$21:$K$27,5),(IF(J28="13",VLOOKUP(M28,'Características dos Cabos MX'!$C$15:$L$20,5),"")))))))</f>
        <v/>
      </c>
      <c r="S28" s="221" t="str">
        <f>IF(J28="Duplex",VLOOKUP(M28,'Características dos Cabos MX'!$C$12:$I$14,6),(IF(J28="Triplex",VLOOKUP(M28,'Características dos Cabos MX'!$C$15:$J$20,6),(IF(J28="Quadruplex",VLOOKUP(M28,'Características dos Cabos MX'!$C$21:$K$27,6),(IF(J28="13",VLOOKUP(M28,'Características dos Cabos MX'!$C$15:$L$20,6),"")))))))</f>
        <v/>
      </c>
      <c r="T28" s="222" t="str">
        <f t="shared" si="8"/>
        <v/>
      </c>
      <c r="U28" s="223" t="str">
        <f>IF(J28="Duplex",VLOOKUP(M28,'Características dos Cabos MX'!$C$12:$I$14,2),(IF(J28="Triplex",VLOOKUP(M28,'Características dos Cabos MX'!$C$15:$J$20,2),(IF(J28="Quadruplex",VLOOKUP(M28,'Características dos Cabos MX'!$C$21:$K$27,2),(IF(J28="13",VLOOKUP(M28,'Características dos Cabos MX'!$C$15:$L$20,2),"")))))))</f>
        <v/>
      </c>
      <c r="V28" s="221" t="str">
        <f>IF(J28="Duplex",VLOOKUP(M28,'Características dos Cabos MX'!$C$12:$I$14,3),(IF(J28="Triplex",VLOOKUP(M28,'Características dos Cabos MX'!$C$15:$J$20,3),(IF(J28="Quadruplex",VLOOKUP(M28,'Características dos Cabos MX'!$C$21:$K$27,3),(IF(J28="13",VLOOKUP(M28,'Características dos Cabos MX'!$C$15:$L$20,3),"")))))))</f>
        <v/>
      </c>
      <c r="W28" s="224" t="str">
        <f t="shared" si="9"/>
        <v/>
      </c>
      <c r="X28" s="224" t="str">
        <f t="shared" si="10"/>
        <v/>
      </c>
      <c r="Y28" s="225" t="str">
        <f t="shared" si="11"/>
        <v/>
      </c>
      <c r="AA28" s="298">
        <f t="shared" si="1"/>
        <v>0</v>
      </c>
      <c r="AB28" s="298">
        <f t="shared" si="2"/>
        <v>0</v>
      </c>
      <c r="AC28" s="284">
        <f>SUM($N$20:N28)</f>
        <v>0</v>
      </c>
      <c r="AE28" s="299" t="str">
        <f t="shared" si="3"/>
        <v/>
      </c>
      <c r="AF28" s="300">
        <f t="shared" si="4"/>
        <v>0</v>
      </c>
    </row>
    <row r="29" spans="1:33" ht="15" customHeight="1" x14ac:dyDescent="0.25">
      <c r="A29" s="559"/>
      <c r="B29" s="606"/>
      <c r="C29" s="422"/>
      <c r="D29" s="421"/>
      <c r="E29" s="425"/>
      <c r="F29" s="415" t="str">
        <f t="shared" si="0"/>
        <v/>
      </c>
      <c r="G29" s="447"/>
      <c r="H29" s="217" t="str">
        <f>IF(AND(E29="",G29=""),"",SUM(F29:$G$31))</f>
        <v/>
      </c>
      <c r="I29" s="218"/>
      <c r="J29" s="215"/>
      <c r="K29" s="215"/>
      <c r="L29" s="226" t="str">
        <f>IF(J29="Duplex",VLOOKUP(M29,'Características dos Cabos MX'!$C$12:$I$14,7),(IF(J29="Triplex",VLOOKUP(M29,'Características dos Cabos MX'!$C$15:$J$20,8),(IF(J29="Quadruplex",VLOOKUP(M29,'Características dos Cabos MX'!$C$21:$K$27,9),(IF(J29="13",VLOOKUP(M29,'Características dos Cabos MX'!$C$15:$L$20,10),"")))))))</f>
        <v/>
      </c>
      <c r="M29" s="410" t="str">
        <f t="shared" si="5"/>
        <v/>
      </c>
      <c r="N29" s="441"/>
      <c r="O29" s="219" t="str">
        <f>IF(OR(N29="",L29="",H29=""),"",N29*L29*H29)</f>
        <v/>
      </c>
      <c r="P29" s="220" t="str">
        <f>IF(O29="","",SUM($O$20:O29))</f>
        <v/>
      </c>
      <c r="Q29" s="220" t="str">
        <f>IF(H29="","",IF(J29="Quadruplex",H29*1000/($D$13*SQRT(3)),IF(J29="Triplex",H29*1000*SQRT(3)/($D$13*2),IF(J29="Duplex",H29*1000*SQRT(3)/$D$13,IF(J29="13",H29*1000/$D$15,IF(J29="12",H29*1000*2/$D$15,"erro"))))))</f>
        <v/>
      </c>
      <c r="R29" s="221" t="str">
        <f>IF(J29="Duplex",VLOOKUP(M29,'Características dos Cabos MX'!$C$12:$I$14,5),(IF(J29="Triplex",VLOOKUP(M29,'Características dos Cabos MX'!$C$15:$J$20,5),(IF(J29="Quadruplex",VLOOKUP(M29,'Características dos Cabos MX'!$C$21:$K$27,5),(IF(J29="13",VLOOKUP(M29,'Características dos Cabos MX'!$C$15:$L$20,5),"")))))))</f>
        <v/>
      </c>
      <c r="S29" s="221" t="str">
        <f>IF(J29="Duplex",VLOOKUP(M29,'Características dos Cabos MX'!$C$12:$I$14,6),(IF(J29="Triplex",VLOOKUP(M29,'Características dos Cabos MX'!$C$15:$J$20,6),(IF(J29="Quadruplex",VLOOKUP(M29,'Características dos Cabos MX'!$C$21:$K$27,6),(IF(J29="13",VLOOKUP(M29,'Características dos Cabos MX'!$C$15:$L$20,6),"")))))))</f>
        <v/>
      </c>
      <c r="T29" s="222" t="str">
        <f>IF(OR(Q29="",R29="",S29=""),"",IF($L$11="PE",Q29/R29,IF($L$11="XLPE",Q29/S29,"")))</f>
        <v/>
      </c>
      <c r="U29" s="223" t="str">
        <f>IF(J29="Duplex",VLOOKUP(M29,'Características dos Cabos MX'!$C$12:$I$14,2),(IF(J29="Triplex",VLOOKUP(M29,'Características dos Cabos MX'!$C$15:$J$20,2),(IF(J29="Quadruplex",VLOOKUP(M29,'Características dos Cabos MX'!$C$21:$K$27,2),(IF(J29="13",VLOOKUP(M29,'Características dos Cabos MX'!$C$15:$L$20,2),"")))))))</f>
        <v/>
      </c>
      <c r="V29" s="221" t="str">
        <f>IF(J29="Duplex",VLOOKUP(M29,'Características dos Cabos MX'!$C$12:$I$14,3),(IF(J29="Triplex",VLOOKUP(M29,'Características dos Cabos MX'!$C$15:$J$20,3),(IF(J29="Quadruplex",VLOOKUP(M29,'Características dos Cabos MX'!$C$21:$K$27,3),(IF(J29="13",VLOOKUP(M29,'Características dos Cabos MX'!$C$15:$L$20,3),"")))))))</f>
        <v/>
      </c>
      <c r="W29" s="224" t="str">
        <f>IF(OR(O29="",$G$15="",H29="",N29=""),"",IF(J29="Quadruplex",3*$L$13*U29*O29/1000*R29^2*8.76,IF(J29="Triplex",2*$L$13*U29*O29/1000*R29^2*8.76,IF(J29="Duplex",$L$13*U29*O29/1000*R29^2*8.76))))</f>
        <v/>
      </c>
      <c r="X29" s="224" t="str">
        <f>IF(OR(O29="",$G$15="",H29="",N29=""),"",IF(J29="Quadruplex",3*$L$13*V29*O29/1000*R29^2*8.76,IF(J29="triplex",2*$L$13*V29*O29/1000*R29^2*8.76,IF(J29="Duplex",$L$13*V29*O29/1000*R29^2*8.76))))</f>
        <v/>
      </c>
      <c r="Y29" s="225" t="str">
        <f>IF(OR(V29="",W29="",X29=""),"",IF($L$11="PE",W29,IF($L$11="XLPE",X29,"")))</f>
        <v/>
      </c>
      <c r="AA29" s="298">
        <f t="shared" si="1"/>
        <v>0</v>
      </c>
      <c r="AB29" s="298">
        <f t="shared" si="2"/>
        <v>0</v>
      </c>
      <c r="AC29" s="284">
        <f>SUM($N$20:N29)</f>
        <v>0</v>
      </c>
      <c r="AE29" s="299" t="str">
        <f>IF(OR(E29="",$G$11=""),"",E29*$G$11*($J$11/100+1)^4)</f>
        <v/>
      </c>
      <c r="AF29" s="300">
        <f t="shared" si="4"/>
        <v>0</v>
      </c>
    </row>
    <row r="30" spans="1:33" ht="15" customHeight="1" x14ac:dyDescent="0.25">
      <c r="A30" s="559"/>
      <c r="B30" s="606"/>
      <c r="C30" s="422"/>
      <c r="D30" s="421"/>
      <c r="E30" s="425"/>
      <c r="F30" s="415" t="str">
        <f t="shared" si="0"/>
        <v/>
      </c>
      <c r="G30" s="447"/>
      <c r="H30" s="217" t="str">
        <f>IF(AND(E30="",G30=""),"",SUM(F30:$G$31))</f>
        <v/>
      </c>
      <c r="I30" s="218"/>
      <c r="J30" s="215"/>
      <c r="K30" s="215"/>
      <c r="L30" s="226" t="str">
        <f>IF(J30="Duplex",VLOOKUP(M30,'Características dos Cabos MX'!$C$12:$I$14,7),(IF(J30="Triplex",VLOOKUP(M30,'Características dos Cabos MX'!$C$15:$J$20,8),(IF(J30="Quadruplex",VLOOKUP(M30,'Características dos Cabos MX'!$C$21:$K$27,9),(IF(J30="13",VLOOKUP(M30,'Características dos Cabos MX'!$C$15:$L$20,10),"")))))))</f>
        <v/>
      </c>
      <c r="M30" s="410" t="str">
        <f t="shared" si="5"/>
        <v/>
      </c>
      <c r="N30" s="441"/>
      <c r="O30" s="219" t="str">
        <f t="shared" si="6"/>
        <v/>
      </c>
      <c r="P30" s="220" t="str">
        <f>IF(O30="","",SUM($O$20:O30))</f>
        <v/>
      </c>
      <c r="Q30" s="220" t="str">
        <f t="shared" si="7"/>
        <v/>
      </c>
      <c r="R30" s="221" t="str">
        <f>IF(J30="Duplex",VLOOKUP(M30,'Características dos Cabos MX'!$C$12:$I$14,5),(IF(J30="Triplex",VLOOKUP(M30,'Características dos Cabos MX'!$C$15:$J$20,5),(IF(J30="Quadruplex",VLOOKUP(M30,'Características dos Cabos MX'!$C$21:$K$27,5),(IF(J30="13",VLOOKUP(M30,'Características dos Cabos MX'!$C$15:$L$20,5),"")))))))</f>
        <v/>
      </c>
      <c r="S30" s="221" t="str">
        <f>IF(J30="Duplex",VLOOKUP(M30,'Características dos Cabos MX'!$C$12:$I$14,6),(IF(J30="Triplex",VLOOKUP(M30,'Características dos Cabos MX'!$C$15:$J$20,6),(IF(J30="Quadruplex",VLOOKUP(M30,'Características dos Cabos MX'!$C$21:$K$27,6),(IF(J30="13",VLOOKUP(M30,'Características dos Cabos MX'!$C$15:$L$20,6),"")))))))</f>
        <v/>
      </c>
      <c r="T30" s="222" t="str">
        <f t="shared" si="8"/>
        <v/>
      </c>
      <c r="U30" s="223" t="str">
        <f>IF(J30="Duplex",VLOOKUP(M30,'Características dos Cabos MX'!$C$12:$I$14,2),(IF(J30="Triplex",VLOOKUP(M30,'Características dos Cabos MX'!$C$15:$J$20,2),(IF(J30="Quadruplex",VLOOKUP(M30,'Características dos Cabos MX'!$C$21:$K$27,2),(IF(J30="13",VLOOKUP(M30,'Características dos Cabos MX'!$C$15:$L$20,2),"")))))))</f>
        <v/>
      </c>
      <c r="V30" s="221" t="str">
        <f>IF(J30="Duplex",VLOOKUP(M30,'Características dos Cabos MX'!$C$12:$I$14,3),(IF(J30="Triplex",VLOOKUP(M30,'Características dos Cabos MX'!$C$15:$J$20,3),(IF(J30="Quadruplex",VLOOKUP(M30,'Características dos Cabos MX'!$C$21:$K$27,3),(IF(J30="13",VLOOKUP(M30,'Características dos Cabos MX'!$C$15:$L$20,3),"")))))))</f>
        <v/>
      </c>
      <c r="W30" s="224" t="str">
        <f t="shared" si="9"/>
        <v/>
      </c>
      <c r="X30" s="224" t="str">
        <f t="shared" si="10"/>
        <v/>
      </c>
      <c r="Y30" s="225" t="str">
        <f t="shared" si="11"/>
        <v/>
      </c>
      <c r="AA30" s="298">
        <f t="shared" si="1"/>
        <v>0</v>
      </c>
      <c r="AB30" s="298">
        <f t="shared" si="2"/>
        <v>0</v>
      </c>
      <c r="AC30" s="284">
        <f>SUM($N$20:N30)</f>
        <v>0</v>
      </c>
      <c r="AE30" s="299" t="str">
        <f t="shared" si="3"/>
        <v/>
      </c>
      <c r="AF30" s="300">
        <f t="shared" si="4"/>
        <v>0</v>
      </c>
    </row>
    <row r="31" spans="1:33" ht="15" customHeight="1" thickBot="1" x14ac:dyDescent="0.3">
      <c r="A31" s="559"/>
      <c r="B31" s="607"/>
      <c r="C31" s="423"/>
      <c r="D31" s="424"/>
      <c r="E31" s="426"/>
      <c r="F31" s="416"/>
      <c r="G31" s="448"/>
      <c r="H31" s="229" t="str">
        <f>IF(AND(E31="",G31=""),"",SUM(F31:$G$31))</f>
        <v/>
      </c>
      <c r="I31" s="230"/>
      <c r="J31" s="227"/>
      <c r="K31" s="227"/>
      <c r="L31" s="231" t="str">
        <f>IF(J31="Duplex",VLOOKUP(M31,'Características dos Cabos MX'!$C$12:$I$14,7),(IF(J31="Triplex",VLOOKUP(M31,'Características dos Cabos MX'!$C$15:$J$20,8),(IF(J31="Quadruplex",VLOOKUP(M31,'Características dos Cabos MX'!$C$21:$K$27,9),(IF(J31="13",VLOOKUP(M31,'Características dos Cabos MX'!$C$15:$L$20,10),"")))))))</f>
        <v/>
      </c>
      <c r="M31" s="412" t="str">
        <f t="shared" si="5"/>
        <v/>
      </c>
      <c r="N31" s="442"/>
      <c r="O31" s="232" t="str">
        <f t="shared" si="6"/>
        <v/>
      </c>
      <c r="P31" s="233" t="str">
        <f>IF(O31="","",SUM($O$20:O31))</f>
        <v/>
      </c>
      <c r="Q31" s="233" t="str">
        <f t="shared" si="7"/>
        <v/>
      </c>
      <c r="R31" s="234" t="str">
        <f>IF(J31="Duplex",VLOOKUP(M31,'Características dos Cabos MX'!$C$12:$I$14,5),(IF(J31="Triplex",VLOOKUP(M31,'Características dos Cabos MX'!$C$15:$J$20,5),(IF(J31="Quadruplex",VLOOKUP(M31,'Características dos Cabos MX'!$C$21:$K$27,5),(IF(J31="13",VLOOKUP(M31,'Características dos Cabos MX'!$C$15:$L$20,5),"")))))))</f>
        <v/>
      </c>
      <c r="S31" s="234" t="str">
        <f>IF(J31="Duplex",VLOOKUP(M31,'Características dos Cabos MX'!$C$12:$I$14,6),(IF(J31="Triplex",VLOOKUP(M31,'Características dos Cabos MX'!$C$15:$J$20,6),(IF(J31="Quadruplex",VLOOKUP(M31,'Características dos Cabos MX'!$C$21:$K$27,6),(IF(J31="13",VLOOKUP(M31,'Características dos Cabos MX'!$C$15:$L$20,6),"")))))))</f>
        <v/>
      </c>
      <c r="T31" s="235" t="str">
        <f t="shared" si="8"/>
        <v/>
      </c>
      <c r="U31" s="236" t="str">
        <f>IF(J31="Duplex",VLOOKUP(M31,'Características dos Cabos MX'!$C$12:$I$14,2),(IF(J31="Triplex",VLOOKUP(M31,'Características dos Cabos MX'!$C$15:$J$20,2),(IF(J31="Quadruplex",VLOOKUP(M31,'Características dos Cabos MX'!$C$21:$K$27,2),(IF(J31="13",VLOOKUP(M31,'Características dos Cabos MX'!$C$15:$L$20,2),"")))))))</f>
        <v/>
      </c>
      <c r="V31" s="234" t="str">
        <f>IF(J31="Duplex",VLOOKUP(M31,'Características dos Cabos MX'!$C$12:$I$14,3),(IF(J31="Triplex",VLOOKUP(M31,'Características dos Cabos MX'!$C$15:$J$20,3),(IF(J31="Quadruplex",VLOOKUP(M31,'Características dos Cabos MX'!$C$21:$K$27,3),(IF(J31="13",VLOOKUP(M31,'Características dos Cabos MX'!$C$15:$L$20,3),"")))))))</f>
        <v/>
      </c>
      <c r="W31" s="237" t="str">
        <f t="shared" si="9"/>
        <v/>
      </c>
      <c r="X31" s="237" t="str">
        <f t="shared" si="10"/>
        <v/>
      </c>
      <c r="Y31" s="238" t="str">
        <f t="shared" si="11"/>
        <v/>
      </c>
      <c r="AA31" s="298">
        <f t="shared" si="1"/>
        <v>0</v>
      </c>
      <c r="AB31" s="298">
        <f t="shared" si="2"/>
        <v>0</v>
      </c>
      <c r="AC31" s="284">
        <f>SUM($N$20:N31)</f>
        <v>0</v>
      </c>
      <c r="AE31" s="299" t="str">
        <f t="shared" si="3"/>
        <v/>
      </c>
      <c r="AF31" s="300">
        <f t="shared" si="4"/>
        <v>0</v>
      </c>
    </row>
    <row r="32" spans="1:33" ht="15" customHeight="1" thickTop="1" x14ac:dyDescent="0.25">
      <c r="A32" s="559"/>
      <c r="B32" s="558" t="s">
        <v>105</v>
      </c>
      <c r="C32" s="614" t="s">
        <v>119</v>
      </c>
      <c r="D32" s="609"/>
      <c r="E32" s="419" t="s">
        <v>119</v>
      </c>
      <c r="F32" s="207" t="s">
        <v>119</v>
      </c>
      <c r="G32" s="207" t="s">
        <v>119</v>
      </c>
      <c r="H32" s="207" t="s">
        <v>119</v>
      </c>
      <c r="I32" s="208"/>
      <c r="J32" s="207" t="s">
        <v>119</v>
      </c>
      <c r="K32" s="207" t="s">
        <v>119</v>
      </c>
      <c r="L32" s="210" t="s">
        <v>119</v>
      </c>
      <c r="M32" s="211"/>
      <c r="N32" s="207" t="s">
        <v>119</v>
      </c>
      <c r="O32" s="212" t="s">
        <v>102</v>
      </c>
      <c r="P32" s="210" t="s">
        <v>102</v>
      </c>
      <c r="Q32" s="210" t="s">
        <v>102</v>
      </c>
      <c r="R32" s="213" t="s">
        <v>206</v>
      </c>
      <c r="S32" s="213" t="s">
        <v>207</v>
      </c>
      <c r="T32" s="210" t="s">
        <v>102</v>
      </c>
      <c r="U32" s="213" t="s">
        <v>102</v>
      </c>
      <c r="V32" s="213"/>
      <c r="W32" s="213" t="s">
        <v>102</v>
      </c>
      <c r="X32" s="213" t="s">
        <v>119</v>
      </c>
      <c r="Y32" s="214" t="s">
        <v>103</v>
      </c>
      <c r="Z32" s="489" t="s">
        <v>274</v>
      </c>
      <c r="AA32" s="298"/>
      <c r="AB32" s="284"/>
      <c r="AC32" s="284"/>
      <c r="AE32" s="300" t="str">
        <f>F32</f>
        <v>-------------</v>
      </c>
      <c r="AF32" s="300" t="str">
        <f t="shared" si="4"/>
        <v>-------------</v>
      </c>
      <c r="AG32" s="121" t="e">
        <f>SQRT(3)*(Q33+Q45)*0.22</f>
        <v>#VALUE!</v>
      </c>
    </row>
    <row r="33" spans="1:36" ht="15" customHeight="1" x14ac:dyDescent="0.25">
      <c r="A33" s="559"/>
      <c r="B33" s="559"/>
      <c r="C33" s="420" t="s">
        <v>100</v>
      </c>
      <c r="D33" s="456"/>
      <c r="E33" s="425"/>
      <c r="F33" s="415" t="str">
        <f t="shared" si="0"/>
        <v/>
      </c>
      <c r="G33" s="447"/>
      <c r="H33" s="217" t="str">
        <f>IF(AND(E33="",G33=""),"",SUM(F33:$G$44))</f>
        <v/>
      </c>
      <c r="I33" s="218"/>
      <c r="J33" s="215"/>
      <c r="K33" s="215"/>
      <c r="L33" s="226" t="str">
        <f>IF(J33="Duplex",VLOOKUP(M33,'Características dos Cabos MX'!$C$12:$I$14,7),(IF(J33="Triplex",VLOOKUP(M33,'Características dos Cabos MX'!$C$15:$J$20,8),(IF(J33="Quadruplex",VLOOKUP(M33,'Características dos Cabos MX'!$C$21:$K$27,9),(IF(J33="13",VLOOKUP(M33,'Características dos Cabos MX'!$C$15:$L$20,10),"")))))))</f>
        <v/>
      </c>
      <c r="M33" s="410" t="str">
        <f t="shared" si="5"/>
        <v/>
      </c>
      <c r="N33" s="441"/>
      <c r="O33" s="219" t="str">
        <f t="shared" si="6"/>
        <v/>
      </c>
      <c r="P33" s="220" t="str">
        <f>IF(O33="","",SUM($O$33:O33))</f>
        <v/>
      </c>
      <c r="Q33" s="220" t="str">
        <f t="shared" si="7"/>
        <v/>
      </c>
      <c r="R33" s="221" t="str">
        <f>IF(J33="Duplex",VLOOKUP(M33,'Características dos Cabos MX'!$C$12:$I$14,5),(IF(J33="Triplex",VLOOKUP(M33,'Características dos Cabos MX'!$C$15:$J$20,5),(IF(J33="Quadruplex",VLOOKUP(M33,'Características dos Cabos MX'!$C$21:$K$27,5),(IF(J33="13",VLOOKUP(M33,'Características dos Cabos MX'!$C$15:$L$20,5),"")))))))</f>
        <v/>
      </c>
      <c r="S33" s="221" t="str">
        <f>IF(J33="Duplex",VLOOKUP(M33,'Características dos Cabos MX'!$C$12:$I$14,6),(IF(J33="Triplex",VLOOKUP(M33,'Características dos Cabos MX'!$C$15:$J$20,6),(IF(J33="Quadruplex",VLOOKUP(M33,'Características dos Cabos MX'!$C$21:$K$27,6),(IF(J33="13",VLOOKUP(M33,'Características dos Cabos MX'!$C$15:$L$20,6),"")))))))</f>
        <v/>
      </c>
      <c r="T33" s="222" t="str">
        <f t="shared" si="8"/>
        <v/>
      </c>
      <c r="U33" s="223" t="str">
        <f>IF(J33="Duplex",VLOOKUP(M33,'Características dos Cabos MX'!$C$12:$I$14,2),(IF(J33="Triplex",VLOOKUP(M33,'Características dos Cabos MX'!$C$15:$J$20,2),(IF(J33="Quadruplex",VLOOKUP(M33,'Características dos Cabos MX'!$C$21:$K$27,2),(IF(J33="13",VLOOKUP(M33,'Características dos Cabos MX'!$C$15:$L$20,2),"")))))))</f>
        <v/>
      </c>
      <c r="V33" s="221" t="str">
        <f>IF(J33="Duplex",VLOOKUP(M33,'Características dos Cabos MX'!$C$12:$I$14,3),(IF(J33="Triplex",VLOOKUP(M33,'Características dos Cabos MX'!$C$15:$J$20,3),(IF(J33="Quadruplex",VLOOKUP(M33,'Características dos Cabos MX'!$C$21:$K$27,3),(IF(J33="13",VLOOKUP(M33,'Características dos Cabos MX'!$C$15:$L$20,3),"")))))))</f>
        <v/>
      </c>
      <c r="W33" s="224" t="str">
        <f t="shared" si="9"/>
        <v/>
      </c>
      <c r="X33" s="224" t="str">
        <f t="shared" si="10"/>
        <v/>
      </c>
      <c r="Y33" s="225" t="str">
        <f t="shared" si="11"/>
        <v/>
      </c>
      <c r="AA33" s="298">
        <f t="shared" si="1"/>
        <v>0</v>
      </c>
      <c r="AB33" s="298">
        <f t="shared" si="2"/>
        <v>0</v>
      </c>
      <c r="AC33" s="284">
        <f>SUM($N$33:N33)</f>
        <v>0</v>
      </c>
      <c r="AE33" s="299" t="str">
        <f t="shared" si="3"/>
        <v/>
      </c>
      <c r="AF33" s="300">
        <f t="shared" si="4"/>
        <v>0</v>
      </c>
    </row>
    <row r="34" spans="1:36" ht="15" customHeight="1" x14ac:dyDescent="0.25">
      <c r="A34" s="559"/>
      <c r="B34" s="559"/>
      <c r="C34" s="457"/>
      <c r="D34" s="456"/>
      <c r="E34" s="425"/>
      <c r="F34" s="415" t="str">
        <f t="shared" ref="F34:F43" si="12">IF(OR(E34="",$G$11=""),"",E34*$G$11*($J$11/100+1)^($J$15-1))</f>
        <v/>
      </c>
      <c r="G34" s="447"/>
      <c r="H34" s="217" t="str">
        <f>IF(AND(E34="",G34=""),"",SUM(F34:$G$44))</f>
        <v/>
      </c>
      <c r="I34" s="218"/>
      <c r="J34" s="215"/>
      <c r="K34" s="215"/>
      <c r="L34" s="226" t="str">
        <f>IF(J34="Duplex",VLOOKUP(M34,'Características dos Cabos MX'!$C$12:$I$14,7),(IF(J34="Triplex",VLOOKUP(M34,'Características dos Cabos MX'!$C$15:$J$20,8),(IF(J34="Quadruplex",VLOOKUP(M34,'Características dos Cabos MX'!$C$21:$K$27,9),(IF(J34="13",VLOOKUP(M34,'Características dos Cabos MX'!$C$15:$L$20,10),"")))))))</f>
        <v/>
      </c>
      <c r="M34" s="410" t="str">
        <f t="shared" si="5"/>
        <v/>
      </c>
      <c r="N34" s="441"/>
      <c r="O34" s="219" t="str">
        <f t="shared" si="6"/>
        <v/>
      </c>
      <c r="P34" s="220" t="str">
        <f>IF(O34="","",SUM($O$33:O34))</f>
        <v/>
      </c>
      <c r="Q34" s="220" t="str">
        <f t="shared" si="7"/>
        <v/>
      </c>
      <c r="R34" s="221" t="str">
        <f>IF(J34="Duplex",VLOOKUP(M34,'Características dos Cabos MX'!$C$12:$I$14,5),(IF(J34="Triplex",VLOOKUP(M34,'Características dos Cabos MX'!$C$15:$J$20,5),(IF(J34="Quadruplex",VLOOKUP(M34,'Características dos Cabos MX'!$C$21:$K$27,5),(IF(J34="13",VLOOKUP(M34,'Características dos Cabos MX'!$C$15:$L$20,5),"")))))))</f>
        <v/>
      </c>
      <c r="S34" s="221" t="str">
        <f>IF(J34="Duplex",VLOOKUP(M34,'Características dos Cabos MX'!$C$12:$I$14,6),(IF(J34="Triplex",VLOOKUP(M34,'Características dos Cabos MX'!$C$15:$J$20,6),(IF(J34="Quadruplex",VLOOKUP(M34,'Características dos Cabos MX'!$C$21:$K$27,6),(IF(J34="13",VLOOKUP(M34,'Características dos Cabos MX'!$C$15:$L$20,6),"")))))))</f>
        <v/>
      </c>
      <c r="T34" s="222" t="str">
        <f t="shared" si="8"/>
        <v/>
      </c>
      <c r="U34" s="223" t="str">
        <f>IF(J34="Duplex",VLOOKUP(M34,'Características dos Cabos MX'!$C$12:$I$14,2),(IF(J34="Triplex",VLOOKUP(M34,'Características dos Cabos MX'!$C$15:$J$20,2),(IF(J34="Quadruplex",VLOOKUP(M34,'Características dos Cabos MX'!$C$21:$K$27,2),(IF(J34="13",VLOOKUP(M34,'Características dos Cabos MX'!$C$15:$L$20,2),"")))))))</f>
        <v/>
      </c>
      <c r="V34" s="221" t="str">
        <f>IF(J34="Duplex",VLOOKUP(M34,'Características dos Cabos MX'!$C$12:$I$14,3),(IF(J34="Triplex",VLOOKUP(M34,'Características dos Cabos MX'!$C$15:$J$20,3),(IF(J34="Quadruplex",VLOOKUP(M34,'Características dos Cabos MX'!$C$21:$K$27,3),(IF(J34="13",VLOOKUP(M34,'Características dos Cabos MX'!$C$15:$L$20,3),"")))))))</f>
        <v/>
      </c>
      <c r="W34" s="224" t="str">
        <f t="shared" si="9"/>
        <v/>
      </c>
      <c r="X34" s="224" t="str">
        <f t="shared" si="10"/>
        <v/>
      </c>
      <c r="Y34" s="225" t="str">
        <f t="shared" si="11"/>
        <v/>
      </c>
      <c r="AA34" s="298">
        <f t="shared" si="1"/>
        <v>0</v>
      </c>
      <c r="AB34" s="298">
        <f t="shared" si="2"/>
        <v>0</v>
      </c>
      <c r="AC34" s="284">
        <f>SUM($N$33:N34)</f>
        <v>0</v>
      </c>
      <c r="AE34" s="299" t="str">
        <f t="shared" si="3"/>
        <v/>
      </c>
      <c r="AF34" s="300">
        <f t="shared" si="4"/>
        <v>0</v>
      </c>
    </row>
    <row r="35" spans="1:36" ht="15" customHeight="1" x14ac:dyDescent="0.25">
      <c r="A35" s="559"/>
      <c r="B35" s="559"/>
      <c r="C35" s="455"/>
      <c r="D35" s="456"/>
      <c r="E35" s="425"/>
      <c r="F35" s="415" t="str">
        <f t="shared" si="12"/>
        <v/>
      </c>
      <c r="G35" s="447"/>
      <c r="H35" s="217" t="str">
        <f>IF(AND(E35="",G35=""),"",SUM(F35:$G$44))</f>
        <v/>
      </c>
      <c r="I35" s="218"/>
      <c r="J35" s="215"/>
      <c r="K35" s="215"/>
      <c r="L35" s="226" t="str">
        <f>IF(J35="Duplex",VLOOKUP(M35,'Características dos Cabos MX'!$C$12:$I$14,7),(IF(J35="Triplex",VLOOKUP(M35,'Características dos Cabos MX'!$C$15:$J$20,8),(IF(J35="Quadruplex",VLOOKUP(M35,'Características dos Cabos MX'!$C$21:$K$27,9),(IF(J35="13",VLOOKUP(M35,'Características dos Cabos MX'!$C$15:$L$20,10),"")))))))</f>
        <v/>
      </c>
      <c r="M35" s="410" t="str">
        <f t="shared" si="5"/>
        <v/>
      </c>
      <c r="N35" s="441"/>
      <c r="O35" s="219" t="str">
        <f t="shared" si="6"/>
        <v/>
      </c>
      <c r="P35" s="220" t="str">
        <f>IF(O35="","",SUM($O$33:O35))</f>
        <v/>
      </c>
      <c r="Q35" s="220" t="str">
        <f t="shared" si="7"/>
        <v/>
      </c>
      <c r="R35" s="221" t="str">
        <f>IF(J35="Duplex",VLOOKUP(M35,'Características dos Cabos MX'!$C$12:$I$14,5),(IF(J35="Triplex",VLOOKUP(M35,'Características dos Cabos MX'!$C$15:$J$20,5),(IF(J35="Quadruplex",VLOOKUP(M35,'Características dos Cabos MX'!$C$21:$K$27,5),(IF(J35="13",VLOOKUP(M35,'Características dos Cabos MX'!$C$15:$L$20,5),"")))))))</f>
        <v/>
      </c>
      <c r="S35" s="221" t="str">
        <f>IF(J35="Duplex",VLOOKUP(M35,'Características dos Cabos MX'!$C$12:$I$14,6),(IF(J35="Triplex",VLOOKUP(M35,'Características dos Cabos MX'!$C$15:$J$20,6),(IF(J35="Quadruplex",VLOOKUP(M35,'Características dos Cabos MX'!$C$21:$K$27,6),(IF(J35="13",VLOOKUP(M35,'Características dos Cabos MX'!$C$15:$L$20,6),"")))))))</f>
        <v/>
      </c>
      <c r="T35" s="222" t="str">
        <f t="shared" si="8"/>
        <v/>
      </c>
      <c r="U35" s="223" t="str">
        <f>IF(J35="Duplex",VLOOKUP(M35,'Características dos Cabos MX'!$C$12:$I$14,2),(IF(J35="Triplex",VLOOKUP(M35,'Características dos Cabos MX'!$C$15:$J$20,2),(IF(J35="Quadruplex",VLOOKUP(M35,'Características dos Cabos MX'!$C$21:$K$27,2),(IF(J35="13",VLOOKUP(M35,'Características dos Cabos MX'!$C$15:$L$20,2),"")))))))</f>
        <v/>
      </c>
      <c r="V35" s="221" t="str">
        <f>IF(J35="Duplex",VLOOKUP(M35,'Características dos Cabos MX'!$C$12:$I$14,3),(IF(J35="Triplex",VLOOKUP(M35,'Características dos Cabos MX'!$C$15:$J$20,3),(IF(J35="Quadruplex",VLOOKUP(M35,'Características dos Cabos MX'!$C$21:$K$27,3),(IF(J35="13",VLOOKUP(M35,'Características dos Cabos MX'!$C$15:$L$20,3),"")))))))</f>
        <v/>
      </c>
      <c r="W35" s="224" t="str">
        <f t="shared" si="9"/>
        <v/>
      </c>
      <c r="X35" s="224" t="str">
        <f t="shared" si="10"/>
        <v/>
      </c>
      <c r="Y35" s="225" t="str">
        <f t="shared" si="11"/>
        <v/>
      </c>
      <c r="AA35" s="298">
        <f t="shared" si="1"/>
        <v>0</v>
      </c>
      <c r="AB35" s="298">
        <f t="shared" si="2"/>
        <v>0</v>
      </c>
      <c r="AC35" s="284">
        <f>SUM($N$33:N35)</f>
        <v>0</v>
      </c>
      <c r="AE35" s="299" t="str">
        <f t="shared" si="3"/>
        <v/>
      </c>
      <c r="AF35" s="300">
        <f t="shared" si="4"/>
        <v>0</v>
      </c>
    </row>
    <row r="36" spans="1:36" ht="15" customHeight="1" x14ac:dyDescent="0.25">
      <c r="A36" s="559"/>
      <c r="B36" s="559"/>
      <c r="C36" s="457"/>
      <c r="D36" s="454"/>
      <c r="E36" s="425"/>
      <c r="F36" s="415" t="str">
        <f t="shared" si="12"/>
        <v/>
      </c>
      <c r="G36" s="447"/>
      <c r="H36" s="217" t="str">
        <f>IF(AND(E36="",G36=""),"",SUM(F36:$G$44))</f>
        <v/>
      </c>
      <c r="I36" s="218"/>
      <c r="J36" s="215"/>
      <c r="K36" s="215"/>
      <c r="L36" s="226" t="str">
        <f>IF(J36="Duplex",VLOOKUP(M36,'Características dos Cabos MX'!$C$12:$I$14,7),(IF(J36="Triplex",VLOOKUP(M36,'Características dos Cabos MX'!$C$15:$J$20,8),(IF(J36="Quadruplex",VLOOKUP(M36,'Características dos Cabos MX'!$C$21:$K$27,9),(IF(J36="13",VLOOKUP(M36,'Características dos Cabos MX'!$C$15:$L$20,10),"")))))))</f>
        <v/>
      </c>
      <c r="M36" s="410" t="str">
        <f t="shared" si="5"/>
        <v/>
      </c>
      <c r="N36" s="441"/>
      <c r="O36" s="219" t="str">
        <f t="shared" si="6"/>
        <v/>
      </c>
      <c r="P36" s="220" t="str">
        <f>IF(O36="","",SUM($O$33:O36))</f>
        <v/>
      </c>
      <c r="Q36" s="220" t="str">
        <f t="shared" si="7"/>
        <v/>
      </c>
      <c r="R36" s="221" t="str">
        <f>IF(J36="Duplex",VLOOKUP(M36,'Características dos Cabos MX'!$C$12:$I$14,5),(IF(J36="Triplex",VLOOKUP(M36,'Características dos Cabos MX'!$C$15:$J$20,5),(IF(J36="Quadruplex",VLOOKUP(M36,'Características dos Cabos MX'!$C$21:$K$27,5),(IF(J36="13",VLOOKUP(M36,'Características dos Cabos MX'!$C$15:$L$20,5),"")))))))</f>
        <v/>
      </c>
      <c r="S36" s="221" t="str">
        <f>IF(J36="Duplex",VLOOKUP(M36,'Características dos Cabos MX'!$C$12:$I$14,6),(IF(J36="Triplex",VLOOKUP(M36,'Características dos Cabos MX'!$C$15:$J$20,6),(IF(J36="Quadruplex",VLOOKUP(M36,'Características dos Cabos MX'!$C$21:$K$27,6),(IF(J36="13",VLOOKUP(M36,'Características dos Cabos MX'!$C$15:$L$20,6),"")))))))</f>
        <v/>
      </c>
      <c r="T36" s="222" t="str">
        <f t="shared" si="8"/>
        <v/>
      </c>
      <c r="U36" s="223" t="str">
        <f>IF(J36="Duplex",VLOOKUP(M36,'Características dos Cabos MX'!$C$12:$I$14,2),(IF(J36="Triplex",VLOOKUP(M36,'Características dos Cabos MX'!$C$15:$J$20,2),(IF(J36="Quadruplex",VLOOKUP(M36,'Características dos Cabos MX'!$C$21:$K$27,2),(IF(J36="13",VLOOKUP(M36,'Características dos Cabos MX'!$C$15:$L$20,2),"")))))))</f>
        <v/>
      </c>
      <c r="V36" s="221" t="str">
        <f>IF(J36="Duplex",VLOOKUP(M36,'Características dos Cabos MX'!$C$12:$I$14,3),(IF(J36="Triplex",VLOOKUP(M36,'Características dos Cabos MX'!$C$15:$J$20,3),(IF(J36="Quadruplex",VLOOKUP(M36,'Características dos Cabos MX'!$C$21:$K$27,3),(IF(J36="13",VLOOKUP(M36,'Características dos Cabos MX'!$C$15:$L$20,3),"")))))))</f>
        <v/>
      </c>
      <c r="W36" s="224" t="str">
        <f t="shared" si="9"/>
        <v/>
      </c>
      <c r="X36" s="224" t="str">
        <f t="shared" si="10"/>
        <v/>
      </c>
      <c r="Y36" s="225" t="str">
        <f t="shared" si="11"/>
        <v/>
      </c>
      <c r="AA36" s="298">
        <f t="shared" si="1"/>
        <v>0</v>
      </c>
      <c r="AB36" s="298">
        <f t="shared" si="2"/>
        <v>0</v>
      </c>
      <c r="AC36" s="284">
        <f>SUM($N$33:N36)</f>
        <v>0</v>
      </c>
      <c r="AE36" s="299" t="str">
        <f t="shared" si="3"/>
        <v/>
      </c>
      <c r="AF36" s="300">
        <f t="shared" si="4"/>
        <v>0</v>
      </c>
    </row>
    <row r="37" spans="1:36" ht="15" customHeight="1" x14ac:dyDescent="0.25">
      <c r="A37" s="559"/>
      <c r="B37" s="559"/>
      <c r="C37" s="455"/>
      <c r="D37" s="456"/>
      <c r="E37" s="425"/>
      <c r="F37" s="415" t="str">
        <f t="shared" si="12"/>
        <v/>
      </c>
      <c r="G37" s="447"/>
      <c r="H37" s="217" t="str">
        <f>IF(AND(E37="",G37=""),"",SUM(F37:$G$44))</f>
        <v/>
      </c>
      <c r="I37" s="218"/>
      <c r="J37" s="215"/>
      <c r="K37" s="215"/>
      <c r="L37" s="226" t="str">
        <f>IF(J37="Duplex",VLOOKUP(M37,'Características dos Cabos MX'!$C$12:$I$14,7),(IF(J37="Triplex",VLOOKUP(M37,'Características dos Cabos MX'!$C$15:$J$20,8),(IF(J37="Quadruplex",VLOOKUP(M37,'Características dos Cabos MX'!$C$21:$K$27,9),(IF(J37="13",VLOOKUP(M37,'Características dos Cabos MX'!$C$15:$L$20,10),"")))))))</f>
        <v/>
      </c>
      <c r="M37" s="410" t="str">
        <f t="shared" si="5"/>
        <v/>
      </c>
      <c r="N37" s="441"/>
      <c r="O37" s="219" t="str">
        <f t="shared" si="6"/>
        <v/>
      </c>
      <c r="P37" s="220" t="str">
        <f>IF(O37="","",SUM($O$33:O37))</f>
        <v/>
      </c>
      <c r="Q37" s="220" t="str">
        <f t="shared" si="7"/>
        <v/>
      </c>
      <c r="R37" s="221" t="str">
        <f>IF(J37="Duplex",VLOOKUP(M37,'Características dos Cabos MX'!$C$12:$I$14,5),(IF(J37="Triplex",VLOOKUP(M37,'Características dos Cabos MX'!$C$15:$J$20,5),(IF(J37="Quadruplex",VLOOKUP(M37,'Características dos Cabos MX'!$C$21:$K$27,5),(IF(J37="13",VLOOKUP(M37,'Características dos Cabos MX'!$C$15:$L$20,5),"")))))))</f>
        <v/>
      </c>
      <c r="S37" s="221" t="str">
        <f>IF(J37="Duplex",VLOOKUP(M37,'Características dos Cabos MX'!$C$12:$I$14,6),(IF(J37="Triplex",VLOOKUP(M37,'Características dos Cabos MX'!$C$15:$J$20,6),(IF(J37="Quadruplex",VLOOKUP(M37,'Características dos Cabos MX'!$C$21:$K$27,6),(IF(J37="13",VLOOKUP(M37,'Características dos Cabos MX'!$C$15:$L$20,6),"")))))))</f>
        <v/>
      </c>
      <c r="T37" s="222" t="str">
        <f t="shared" si="8"/>
        <v/>
      </c>
      <c r="U37" s="223" t="str">
        <f>IF(J37="Duplex",VLOOKUP(M37,'Características dos Cabos MX'!$C$12:$I$14,2),(IF(J37="Triplex",VLOOKUP(M37,'Características dos Cabos MX'!$C$15:$J$20,2),(IF(J37="Quadruplex",VLOOKUP(M37,'Características dos Cabos MX'!$C$21:$K$27,2),(IF(J37="13",VLOOKUP(M37,'Características dos Cabos MX'!$C$15:$L$20,2),"")))))))</f>
        <v/>
      </c>
      <c r="V37" s="221" t="str">
        <f>IF(J37="Duplex",VLOOKUP(M37,'Características dos Cabos MX'!$C$12:$I$14,3),(IF(J37="Triplex",VLOOKUP(M37,'Características dos Cabos MX'!$C$15:$J$20,3),(IF(J37="Quadruplex",VLOOKUP(M37,'Características dos Cabos MX'!$C$21:$K$27,3),(IF(J37="13",VLOOKUP(M37,'Características dos Cabos MX'!$C$15:$L$20,3),"")))))))</f>
        <v/>
      </c>
      <c r="W37" s="224" t="str">
        <f t="shared" si="9"/>
        <v/>
      </c>
      <c r="X37" s="224" t="str">
        <f t="shared" si="10"/>
        <v/>
      </c>
      <c r="Y37" s="225" t="str">
        <f t="shared" si="11"/>
        <v/>
      </c>
      <c r="AA37" s="298">
        <f t="shared" si="1"/>
        <v>0</v>
      </c>
      <c r="AB37" s="298">
        <f t="shared" si="2"/>
        <v>0</v>
      </c>
      <c r="AC37" s="284">
        <f>SUM($N$33:N37)</f>
        <v>0</v>
      </c>
      <c r="AE37" s="299" t="str">
        <f t="shared" si="3"/>
        <v/>
      </c>
      <c r="AF37" s="300">
        <f t="shared" si="4"/>
        <v>0</v>
      </c>
    </row>
    <row r="38" spans="1:36" ht="15" customHeight="1" x14ac:dyDescent="0.25">
      <c r="A38" s="559"/>
      <c r="B38" s="559"/>
      <c r="C38" s="457"/>
      <c r="D38" s="454"/>
      <c r="E38" s="425"/>
      <c r="F38" s="415" t="str">
        <f t="shared" si="12"/>
        <v/>
      </c>
      <c r="G38" s="447"/>
      <c r="H38" s="217" t="str">
        <f>IF(AND(E38="",G38=""),"",SUM(F38:$G$44))</f>
        <v/>
      </c>
      <c r="I38" s="218"/>
      <c r="J38" s="215"/>
      <c r="K38" s="215"/>
      <c r="L38" s="226" t="str">
        <f>IF(J38="Duplex",VLOOKUP(M38,'Características dos Cabos MX'!$C$12:$I$14,7),(IF(J38="Triplex",VLOOKUP(M38,'Características dos Cabos MX'!$C$15:$J$20,8),(IF(J38="Quadruplex",VLOOKUP(M38,'Características dos Cabos MX'!$C$21:$K$27,9),(IF(J38="13",VLOOKUP(M38,'Características dos Cabos MX'!$C$15:$L$20,10),"")))))))</f>
        <v/>
      </c>
      <c r="M38" s="410" t="str">
        <f t="shared" si="5"/>
        <v/>
      </c>
      <c r="N38" s="441"/>
      <c r="O38" s="219" t="str">
        <f t="shared" si="6"/>
        <v/>
      </c>
      <c r="P38" s="220" t="str">
        <f>IF(O38="","",SUM($O$33:O38))</f>
        <v/>
      </c>
      <c r="Q38" s="220" t="str">
        <f t="shared" si="7"/>
        <v/>
      </c>
      <c r="R38" s="221" t="str">
        <f>IF(J38="Duplex",VLOOKUP(M38,'Características dos Cabos MX'!$C$12:$I$14,5),(IF(J38="Triplex",VLOOKUP(M38,'Características dos Cabos MX'!$C$15:$J$20,5),(IF(J38="Quadruplex",VLOOKUP(M38,'Características dos Cabos MX'!$C$21:$K$27,5),(IF(J38="13",VLOOKUP(M38,'Características dos Cabos MX'!$C$15:$L$20,5),"")))))))</f>
        <v/>
      </c>
      <c r="S38" s="221" t="str">
        <f>IF(J38="Duplex",VLOOKUP(M38,'Características dos Cabos MX'!$C$12:$I$14,6),(IF(J38="Triplex",VLOOKUP(M38,'Características dos Cabos MX'!$C$15:$J$20,6),(IF(J38="Quadruplex",VLOOKUP(M38,'Características dos Cabos MX'!$C$21:$K$27,6),(IF(J38="13",VLOOKUP(M38,'Características dos Cabos MX'!$C$15:$L$20,6),"")))))))</f>
        <v/>
      </c>
      <c r="T38" s="222" t="str">
        <f t="shared" si="8"/>
        <v/>
      </c>
      <c r="U38" s="223" t="str">
        <f>IF(J38="Duplex",VLOOKUP(M38,'Características dos Cabos MX'!$C$12:$I$14,2),(IF(J38="Triplex",VLOOKUP(M38,'Características dos Cabos MX'!$C$15:$J$20,2),(IF(J38="Quadruplex",VLOOKUP(M38,'Características dos Cabos MX'!$C$21:$K$27,2),(IF(J38="13",VLOOKUP(M38,'Características dos Cabos MX'!$C$15:$L$20,2),"")))))))</f>
        <v/>
      </c>
      <c r="V38" s="221" t="str">
        <f>IF(J38="Duplex",VLOOKUP(M38,'Características dos Cabos MX'!$C$12:$I$14,3),(IF(J38="Triplex",VLOOKUP(M38,'Características dos Cabos MX'!$C$15:$J$20,3),(IF(J38="Quadruplex",VLOOKUP(M38,'Características dos Cabos MX'!$C$21:$K$27,3),(IF(J38="13",VLOOKUP(M38,'Características dos Cabos MX'!$C$15:$L$20,3),"")))))))</f>
        <v/>
      </c>
      <c r="W38" s="224" t="str">
        <f t="shared" si="9"/>
        <v/>
      </c>
      <c r="X38" s="224" t="str">
        <f t="shared" si="10"/>
        <v/>
      </c>
      <c r="Y38" s="225" t="str">
        <f t="shared" si="11"/>
        <v/>
      </c>
      <c r="AA38" s="298">
        <f t="shared" si="1"/>
        <v>0</v>
      </c>
      <c r="AB38" s="298">
        <f t="shared" si="2"/>
        <v>0</v>
      </c>
      <c r="AC38" s="284">
        <f>SUM($N$33:N38)</f>
        <v>0</v>
      </c>
      <c r="AE38" s="299" t="str">
        <f t="shared" si="3"/>
        <v/>
      </c>
      <c r="AF38" s="300">
        <f t="shared" si="4"/>
        <v>0</v>
      </c>
    </row>
    <row r="39" spans="1:36" ht="15" customHeight="1" x14ac:dyDescent="0.25">
      <c r="A39" s="559"/>
      <c r="B39" s="559"/>
      <c r="C39" s="455"/>
      <c r="D39" s="456"/>
      <c r="E39" s="425"/>
      <c r="F39" s="415" t="str">
        <f t="shared" si="12"/>
        <v/>
      </c>
      <c r="G39" s="447"/>
      <c r="H39" s="217" t="str">
        <f>IF(AND(E39="",G39=""),"",SUM(F39:$G$44))</f>
        <v/>
      </c>
      <c r="I39" s="218"/>
      <c r="J39" s="215"/>
      <c r="K39" s="215"/>
      <c r="L39" s="226" t="str">
        <f>IF(J39="Duplex",VLOOKUP(M39,'Características dos Cabos MX'!$C$12:$I$14,7),(IF(J39="Triplex",VLOOKUP(M39,'Características dos Cabos MX'!$C$15:$J$20,8),(IF(J39="Quadruplex",VLOOKUP(M39,'Características dos Cabos MX'!$C$21:$K$27,9),(IF(J39="13",VLOOKUP(M39,'Características dos Cabos MX'!$C$15:$L$20,10),"")))))))</f>
        <v/>
      </c>
      <c r="M39" s="410" t="str">
        <f t="shared" si="5"/>
        <v/>
      </c>
      <c r="N39" s="441"/>
      <c r="O39" s="219" t="str">
        <f t="shared" si="6"/>
        <v/>
      </c>
      <c r="P39" s="220" t="str">
        <f>IF(O39="","",SUM($O$33:O39))</f>
        <v/>
      </c>
      <c r="Q39" s="220" t="str">
        <f t="shared" si="7"/>
        <v/>
      </c>
      <c r="R39" s="221" t="str">
        <f>IF(J39="Duplex",VLOOKUP(M39,'Características dos Cabos MX'!$C$12:$I$14,5),(IF(J39="Triplex",VLOOKUP(M39,'Características dos Cabos MX'!$C$15:$J$20,5),(IF(J39="Quadruplex",VLOOKUP(M39,'Características dos Cabos MX'!$C$21:$K$27,5),(IF(J39="13",VLOOKUP(M39,'Características dos Cabos MX'!$C$15:$L$20,5),"")))))))</f>
        <v/>
      </c>
      <c r="S39" s="221" t="str">
        <f>IF(J39="Duplex",VLOOKUP(M39,'Características dos Cabos MX'!$C$12:$I$14,6),(IF(J39="Triplex",VLOOKUP(M39,'Características dos Cabos MX'!$C$15:$J$20,6),(IF(J39="Quadruplex",VLOOKUP(M39,'Características dos Cabos MX'!$C$21:$K$27,6),(IF(J39="13",VLOOKUP(M39,'Características dos Cabos MX'!$C$15:$L$20,6),"")))))))</f>
        <v/>
      </c>
      <c r="T39" s="222" t="str">
        <f t="shared" si="8"/>
        <v/>
      </c>
      <c r="U39" s="223" t="str">
        <f>IF(J39="Duplex",VLOOKUP(M39,'Características dos Cabos MX'!$C$12:$I$14,2),(IF(J39="Triplex",VLOOKUP(M39,'Características dos Cabos MX'!$C$15:$J$20,2),(IF(J39="Quadruplex",VLOOKUP(M39,'Características dos Cabos MX'!$C$21:$K$27,2),(IF(J39="13",VLOOKUP(M39,'Características dos Cabos MX'!$C$15:$L$20,2),"")))))))</f>
        <v/>
      </c>
      <c r="V39" s="221" t="str">
        <f>IF(J39="Duplex",VLOOKUP(M39,'Características dos Cabos MX'!$C$12:$I$14,3),(IF(J39="Triplex",VLOOKUP(M39,'Características dos Cabos MX'!$C$15:$J$20,3),(IF(J39="Quadruplex",VLOOKUP(M39,'Características dos Cabos MX'!$C$21:$K$27,3),(IF(J39="13",VLOOKUP(M39,'Características dos Cabos MX'!$C$15:$L$20,3),"")))))))</f>
        <v/>
      </c>
      <c r="W39" s="224" t="str">
        <f t="shared" si="9"/>
        <v/>
      </c>
      <c r="X39" s="224" t="str">
        <f t="shared" si="10"/>
        <v/>
      </c>
      <c r="Y39" s="225" t="str">
        <f t="shared" si="11"/>
        <v/>
      </c>
      <c r="AA39" s="298">
        <f t="shared" si="1"/>
        <v>0</v>
      </c>
      <c r="AB39" s="298">
        <f t="shared" si="2"/>
        <v>0</v>
      </c>
      <c r="AC39" s="284">
        <f>SUM($N$33:N39)</f>
        <v>0</v>
      </c>
      <c r="AE39" s="299" t="str">
        <f t="shared" si="3"/>
        <v/>
      </c>
      <c r="AF39" s="300">
        <f t="shared" si="4"/>
        <v>0</v>
      </c>
    </row>
    <row r="40" spans="1:36" ht="15" customHeight="1" x14ac:dyDescent="0.25">
      <c r="A40" s="559"/>
      <c r="B40" s="559"/>
      <c r="C40" s="457"/>
      <c r="D40" s="454"/>
      <c r="E40" s="425"/>
      <c r="F40" s="415" t="str">
        <f t="shared" si="12"/>
        <v/>
      </c>
      <c r="G40" s="447"/>
      <c r="H40" s="217" t="str">
        <f>IF(AND(E40="",G40=""),"",SUM(F40:$G$44))</f>
        <v/>
      </c>
      <c r="I40" s="218"/>
      <c r="J40" s="215"/>
      <c r="K40" s="215"/>
      <c r="L40" s="226" t="str">
        <f>IF(J40="Duplex",VLOOKUP(M40,'Características dos Cabos MX'!$C$12:$I$14,7),(IF(J40="Triplex",VLOOKUP(M40,'Características dos Cabos MX'!$C$15:$J$20,8),(IF(J40="Quadruplex",VLOOKUP(M40,'Características dos Cabos MX'!$C$21:$K$27,9),(IF(J40="13",VLOOKUP(M40,'Características dos Cabos MX'!$C$15:$L$20,10),"")))))))</f>
        <v/>
      </c>
      <c r="M40" s="410" t="str">
        <f t="shared" si="5"/>
        <v/>
      </c>
      <c r="N40" s="441"/>
      <c r="O40" s="219" t="str">
        <f t="shared" si="6"/>
        <v/>
      </c>
      <c r="P40" s="220" t="str">
        <f>IF(O40="","",SUM($O$33:O40))</f>
        <v/>
      </c>
      <c r="Q40" s="220" t="str">
        <f t="shared" si="7"/>
        <v/>
      </c>
      <c r="R40" s="221" t="str">
        <f>IF(J40="Duplex",VLOOKUP(M40,'Características dos Cabos MX'!$C$12:$I$14,5),(IF(J40="Triplex",VLOOKUP(M40,'Características dos Cabos MX'!$C$15:$J$20,5),(IF(J40="Quadruplex",VLOOKUP(M40,'Características dos Cabos MX'!$C$21:$K$27,5),(IF(J40="13",VLOOKUP(M40,'Características dos Cabos MX'!$C$15:$L$20,5),"")))))))</f>
        <v/>
      </c>
      <c r="S40" s="221" t="str">
        <f>IF(J40="Duplex",VLOOKUP(M40,'Características dos Cabos MX'!$C$12:$I$14,6),(IF(J40="Triplex",VLOOKUP(M40,'Características dos Cabos MX'!$C$15:$J$20,6),(IF(J40="Quadruplex",VLOOKUP(M40,'Características dos Cabos MX'!$C$21:$K$27,6),(IF(J40="13",VLOOKUP(M40,'Características dos Cabos MX'!$C$15:$L$20,6),"")))))))</f>
        <v/>
      </c>
      <c r="T40" s="222" t="str">
        <f t="shared" si="8"/>
        <v/>
      </c>
      <c r="U40" s="223" t="str">
        <f>IF(J40="Duplex",VLOOKUP(M40,'Características dos Cabos MX'!$C$12:$I$14,2),(IF(J40="Triplex",VLOOKUP(M40,'Características dos Cabos MX'!$C$15:$J$20,2),(IF(J40="Quadruplex",VLOOKUP(M40,'Características dos Cabos MX'!$C$21:$K$27,2),(IF(J40="13",VLOOKUP(M40,'Características dos Cabos MX'!$C$15:$L$20,2),"")))))))</f>
        <v/>
      </c>
      <c r="V40" s="221" t="str">
        <f>IF(J40="Duplex",VLOOKUP(M40,'Características dos Cabos MX'!$C$12:$I$14,3),(IF(J40="Triplex",VLOOKUP(M40,'Características dos Cabos MX'!$C$15:$J$20,3),(IF(J40="Quadruplex",VLOOKUP(M40,'Características dos Cabos MX'!$C$21:$K$27,3),(IF(J40="13",VLOOKUP(M40,'Características dos Cabos MX'!$C$15:$L$20,3),"")))))))</f>
        <v/>
      </c>
      <c r="W40" s="224" t="str">
        <f t="shared" si="9"/>
        <v/>
      </c>
      <c r="X40" s="224" t="str">
        <f t="shared" si="10"/>
        <v/>
      </c>
      <c r="Y40" s="225" t="str">
        <f t="shared" si="11"/>
        <v/>
      </c>
      <c r="AA40" s="298">
        <f t="shared" si="1"/>
        <v>0</v>
      </c>
      <c r="AB40" s="298">
        <f t="shared" si="2"/>
        <v>0</v>
      </c>
      <c r="AC40" s="284">
        <f>SUM($N$33:N40)</f>
        <v>0</v>
      </c>
      <c r="AE40" s="299" t="str">
        <f t="shared" si="3"/>
        <v/>
      </c>
      <c r="AF40" s="300">
        <f t="shared" si="4"/>
        <v>0</v>
      </c>
    </row>
    <row r="41" spans="1:36" ht="15" customHeight="1" x14ac:dyDescent="0.25">
      <c r="A41" s="559"/>
      <c r="B41" s="559"/>
      <c r="C41" s="455"/>
      <c r="D41" s="456"/>
      <c r="E41" s="425"/>
      <c r="F41" s="415" t="str">
        <f t="shared" si="12"/>
        <v/>
      </c>
      <c r="G41" s="447"/>
      <c r="H41" s="217" t="str">
        <f>IF(AND(E41="",G41=""),"",SUM(F41:$G$44))</f>
        <v/>
      </c>
      <c r="I41" s="218"/>
      <c r="J41" s="215"/>
      <c r="K41" s="215"/>
      <c r="L41" s="226" t="str">
        <f>IF(J41="Duplex",VLOOKUP(M41,'Características dos Cabos MX'!$C$12:$I$14,7),(IF(J41="Triplex",VLOOKUP(M41,'Características dos Cabos MX'!$C$15:$J$20,8),(IF(J41="Quadruplex",VLOOKUP(M41,'Características dos Cabos MX'!$C$21:$K$27,9),(IF(J41="13",VLOOKUP(M41,'Características dos Cabos MX'!$C$15:$L$20,10),"")))))))</f>
        <v/>
      </c>
      <c r="M41" s="410" t="str">
        <f t="shared" si="5"/>
        <v/>
      </c>
      <c r="N41" s="441"/>
      <c r="O41" s="219" t="str">
        <f t="shared" si="6"/>
        <v/>
      </c>
      <c r="P41" s="220" t="str">
        <f>IF(O41="","",SUM($O$33:O41))</f>
        <v/>
      </c>
      <c r="Q41" s="220" t="str">
        <f t="shared" si="7"/>
        <v/>
      </c>
      <c r="R41" s="221" t="str">
        <f>IF(J41="Duplex",VLOOKUP(M41,'Características dos Cabos MX'!$C$12:$I$14,5),(IF(J41="Triplex",VLOOKUP(M41,'Características dos Cabos MX'!$C$15:$J$20,5),(IF(J41="Quadruplex",VLOOKUP(M41,'Características dos Cabos MX'!$C$21:$K$27,5),(IF(J41="13",VLOOKUP(M41,'Características dos Cabos MX'!$C$15:$L$20,5),"")))))))</f>
        <v/>
      </c>
      <c r="S41" s="221" t="str">
        <f>IF(J41="Duplex",VLOOKUP(M41,'Características dos Cabos MX'!$C$12:$I$14,6),(IF(J41="Triplex",VLOOKUP(M41,'Características dos Cabos MX'!$C$15:$J$20,6),(IF(J41="Quadruplex",VLOOKUP(M41,'Características dos Cabos MX'!$C$21:$K$27,6),(IF(J41="13",VLOOKUP(M41,'Características dos Cabos MX'!$C$15:$L$20,6),"")))))))</f>
        <v/>
      </c>
      <c r="T41" s="222" t="str">
        <f t="shared" si="8"/>
        <v/>
      </c>
      <c r="U41" s="223" t="str">
        <f>IF(J41="Duplex",VLOOKUP(M41,'Características dos Cabos MX'!$C$12:$I$14,2),(IF(J41="Triplex",VLOOKUP(M41,'Características dos Cabos MX'!$C$15:$J$20,2),(IF(J41="Quadruplex",VLOOKUP(M41,'Características dos Cabos MX'!$C$21:$K$27,2),(IF(J41="13",VLOOKUP(M41,'Características dos Cabos MX'!$C$15:$L$20,2),"")))))))</f>
        <v/>
      </c>
      <c r="V41" s="221" t="str">
        <f>IF(J41="Duplex",VLOOKUP(M41,'Características dos Cabos MX'!$C$12:$I$14,3),(IF(J41="Triplex",VLOOKUP(M41,'Características dos Cabos MX'!$C$15:$J$20,3),(IF(J41="Quadruplex",VLOOKUP(M41,'Características dos Cabos MX'!$C$21:$K$27,3),(IF(J41="13",VLOOKUP(M41,'Características dos Cabos MX'!$C$15:$L$20,3),"")))))))</f>
        <v/>
      </c>
      <c r="W41" s="224" t="str">
        <f t="shared" si="9"/>
        <v/>
      </c>
      <c r="X41" s="224" t="str">
        <f t="shared" si="10"/>
        <v/>
      </c>
      <c r="Y41" s="225" t="str">
        <f t="shared" si="11"/>
        <v/>
      </c>
      <c r="AA41" s="298">
        <f t="shared" si="1"/>
        <v>0</v>
      </c>
      <c r="AB41" s="298">
        <f t="shared" si="2"/>
        <v>0</v>
      </c>
      <c r="AC41" s="284">
        <f>SUM($N$33:N41)</f>
        <v>0</v>
      </c>
      <c r="AE41" s="299" t="str">
        <f t="shared" si="3"/>
        <v/>
      </c>
      <c r="AF41" s="300">
        <f t="shared" si="4"/>
        <v>0</v>
      </c>
    </row>
    <row r="42" spans="1:36" ht="15" customHeight="1" x14ac:dyDescent="0.25">
      <c r="A42" s="559"/>
      <c r="B42" s="559"/>
      <c r="C42" s="457"/>
      <c r="D42" s="454"/>
      <c r="E42" s="425"/>
      <c r="F42" s="415" t="str">
        <f t="shared" si="12"/>
        <v/>
      </c>
      <c r="G42" s="447"/>
      <c r="H42" s="217" t="str">
        <f>IF(AND(E42="",G42=""),"",SUM(F42:$G$44))</f>
        <v/>
      </c>
      <c r="I42" s="218"/>
      <c r="J42" s="215"/>
      <c r="K42" s="215"/>
      <c r="L42" s="226" t="str">
        <f>IF(J42="Duplex",VLOOKUP(M42,'Características dos Cabos MX'!$C$12:$I$14,7),(IF(J42="Triplex",VLOOKUP(M42,'Características dos Cabos MX'!$C$15:$J$20,8),(IF(J42="Quadruplex",VLOOKUP(M42,'Características dos Cabos MX'!$C$21:$K$27,9),(IF(J42="13",VLOOKUP(M42,'Características dos Cabos MX'!$C$15:$L$20,10),"")))))))</f>
        <v/>
      </c>
      <c r="M42" s="410" t="str">
        <f t="shared" si="5"/>
        <v/>
      </c>
      <c r="N42" s="441"/>
      <c r="O42" s="219" t="str">
        <f t="shared" si="6"/>
        <v/>
      </c>
      <c r="P42" s="220" t="str">
        <f>IF(O42="","",SUM($O$33:O42))</f>
        <v/>
      </c>
      <c r="Q42" s="220" t="str">
        <f t="shared" si="7"/>
        <v/>
      </c>
      <c r="R42" s="221" t="str">
        <f>IF(J42="Duplex",VLOOKUP(M42,'Características dos Cabos MX'!$C$12:$I$14,5),(IF(J42="Triplex",VLOOKUP(M42,'Características dos Cabos MX'!$C$15:$J$20,5),(IF(J42="Quadruplex",VLOOKUP(M42,'Características dos Cabos MX'!$C$21:$K$27,5),(IF(J42="13",VLOOKUP(M42,'Características dos Cabos MX'!$C$15:$L$20,5),"")))))))</f>
        <v/>
      </c>
      <c r="S42" s="221" t="str">
        <f>IF(J42="Duplex",VLOOKUP(M42,'Características dos Cabos MX'!$C$12:$I$14,6),(IF(J42="Triplex",VLOOKUP(M42,'Características dos Cabos MX'!$C$15:$J$20,6),(IF(J42="Quadruplex",VLOOKUP(M42,'Características dos Cabos MX'!$C$21:$K$27,6),(IF(J42="13",VLOOKUP(M42,'Características dos Cabos MX'!$C$15:$L$20,6),"")))))))</f>
        <v/>
      </c>
      <c r="T42" s="222" t="str">
        <f t="shared" si="8"/>
        <v/>
      </c>
      <c r="U42" s="223" t="str">
        <f>IF(J42="Duplex",VLOOKUP(M42,'Características dos Cabos MX'!$C$12:$I$14,2),(IF(J42="Triplex",VLOOKUP(M42,'Características dos Cabos MX'!$C$15:$J$20,2),(IF(J42="Quadruplex",VLOOKUP(M42,'Características dos Cabos MX'!$C$21:$K$27,2),(IF(J42="13",VLOOKUP(M42,'Características dos Cabos MX'!$C$15:$L$20,2),"")))))))</f>
        <v/>
      </c>
      <c r="V42" s="221" t="str">
        <f>IF(J42="Duplex",VLOOKUP(M42,'Características dos Cabos MX'!$C$12:$I$14,3),(IF(J42="Triplex",VLOOKUP(M42,'Características dos Cabos MX'!$C$15:$J$20,3),(IF(J42="Quadruplex",VLOOKUP(M42,'Características dos Cabos MX'!$C$21:$K$27,3),(IF(J42="13",VLOOKUP(M42,'Características dos Cabos MX'!$C$15:$L$20,3),"")))))))</f>
        <v/>
      </c>
      <c r="W42" s="224" t="str">
        <f t="shared" si="9"/>
        <v/>
      </c>
      <c r="X42" s="224" t="str">
        <f t="shared" si="10"/>
        <v/>
      </c>
      <c r="Y42" s="225" t="str">
        <f t="shared" si="11"/>
        <v/>
      </c>
      <c r="AA42" s="298">
        <f t="shared" si="1"/>
        <v>0</v>
      </c>
      <c r="AB42" s="298">
        <f t="shared" si="2"/>
        <v>0</v>
      </c>
      <c r="AC42" s="284">
        <f>SUM($N$33:N42)</f>
        <v>0</v>
      </c>
      <c r="AE42" s="299" t="str">
        <f t="shared" si="3"/>
        <v/>
      </c>
      <c r="AF42" s="300">
        <f t="shared" si="4"/>
        <v>0</v>
      </c>
    </row>
    <row r="43" spans="1:36" ht="15" customHeight="1" x14ac:dyDescent="0.25">
      <c r="A43" s="559"/>
      <c r="B43" s="559"/>
      <c r="C43" s="455"/>
      <c r="D43" s="456"/>
      <c r="E43" s="429"/>
      <c r="F43" s="415" t="str">
        <f t="shared" si="12"/>
        <v/>
      </c>
      <c r="G43" s="447"/>
      <c r="H43" s="217" t="str">
        <f>IF(AND(E43="",G43=""),"",SUM(F43:$G$44))</f>
        <v/>
      </c>
      <c r="I43" s="218"/>
      <c r="J43" s="215"/>
      <c r="K43" s="215"/>
      <c r="L43" s="226" t="str">
        <f>IF(J43="Duplex",VLOOKUP(M43,'Características dos Cabos MX'!$C$12:$I$14,7),(IF(J43="Triplex",VLOOKUP(M43,'Características dos Cabos MX'!$C$15:$J$20,8),(IF(J43="Quadruplex",VLOOKUP(M43,'Características dos Cabos MX'!$C$21:$K$27,9),(IF(J43="13",VLOOKUP(M43,'Características dos Cabos MX'!$C$15:$L$20,10),"")))))))</f>
        <v/>
      </c>
      <c r="M43" s="410" t="str">
        <f t="shared" si="5"/>
        <v/>
      </c>
      <c r="N43" s="441"/>
      <c r="O43" s="219" t="str">
        <f t="shared" si="6"/>
        <v/>
      </c>
      <c r="P43" s="220" t="str">
        <f>IF(O43="","",SUM($O$33:O43))</f>
        <v/>
      </c>
      <c r="Q43" s="220" t="str">
        <f t="shared" si="7"/>
        <v/>
      </c>
      <c r="R43" s="221" t="str">
        <f>IF(J43="Duplex",VLOOKUP(M43,'Características dos Cabos MX'!$C$12:$I$14,5),(IF(J43="Triplex",VLOOKUP(M43,'Características dos Cabos MX'!$C$15:$J$20,5),(IF(J43="Quadruplex",VLOOKUP(M43,'Características dos Cabos MX'!$C$21:$K$27,5),(IF(J43="13",VLOOKUP(M43,'Características dos Cabos MX'!$C$15:$L$20,5),"")))))))</f>
        <v/>
      </c>
      <c r="S43" s="221" t="str">
        <f>IF(J43="Duplex",VLOOKUP(M43,'Características dos Cabos MX'!$C$12:$I$14,6),(IF(J43="Triplex",VLOOKUP(M43,'Características dos Cabos MX'!$C$15:$J$20,6),(IF(J43="Quadruplex",VLOOKUP(M43,'Características dos Cabos MX'!$C$21:$K$27,6),(IF(J43="13",VLOOKUP(M43,'Características dos Cabos MX'!$C$15:$L$20,6),"")))))))</f>
        <v/>
      </c>
      <c r="T43" s="222" t="str">
        <f t="shared" si="8"/>
        <v/>
      </c>
      <c r="U43" s="223" t="str">
        <f>IF(J43="Duplex",VLOOKUP(M43,'Características dos Cabos MX'!$C$12:$I$14,2),(IF(J43="Triplex",VLOOKUP(M43,'Características dos Cabos MX'!$C$15:$J$20,2),(IF(J43="Quadruplex",VLOOKUP(M43,'Características dos Cabos MX'!$C$21:$K$27,2),(IF(J43="13",VLOOKUP(M43,'Características dos Cabos MX'!$C$15:$L$20,2),"")))))))</f>
        <v/>
      </c>
      <c r="V43" s="221" t="str">
        <f>IF(J43="Duplex",VLOOKUP(M43,'Características dos Cabos MX'!$C$12:$I$14,3),(IF(J43="Triplex",VLOOKUP(M43,'Características dos Cabos MX'!$C$15:$J$20,3),(IF(J43="Quadruplex",VLOOKUP(M43,'Características dos Cabos MX'!$C$21:$K$27,3),(IF(J43="13",VLOOKUP(M43,'Características dos Cabos MX'!$C$15:$L$20,3),"")))))))</f>
        <v/>
      </c>
      <c r="W43" s="224" t="str">
        <f t="shared" si="9"/>
        <v/>
      </c>
      <c r="X43" s="224" t="str">
        <f t="shared" si="10"/>
        <v/>
      </c>
      <c r="Y43" s="225" t="str">
        <f t="shared" si="11"/>
        <v/>
      </c>
      <c r="AA43" s="298">
        <f t="shared" si="1"/>
        <v>0</v>
      </c>
      <c r="AB43" s="298">
        <f t="shared" si="2"/>
        <v>0</v>
      </c>
      <c r="AC43" s="284">
        <f>SUM($N$33:N43)</f>
        <v>0</v>
      </c>
      <c r="AE43" s="299" t="str">
        <f t="shared" si="3"/>
        <v/>
      </c>
      <c r="AF43" s="300">
        <f t="shared" si="4"/>
        <v>0</v>
      </c>
    </row>
    <row r="44" spans="1:36" ht="15" customHeight="1" thickBot="1" x14ac:dyDescent="0.3">
      <c r="A44" s="560"/>
      <c r="B44" s="560"/>
      <c r="C44" s="427"/>
      <c r="D44" s="428"/>
      <c r="E44" s="430"/>
      <c r="F44" s="416"/>
      <c r="G44" s="449"/>
      <c r="H44" s="229" t="str">
        <f>IF(AND(E44="",G44=""),"",SUM(F44:$G$44))</f>
        <v/>
      </c>
      <c r="I44" s="230"/>
      <c r="J44" s="227"/>
      <c r="K44" s="227"/>
      <c r="L44" s="231" t="str">
        <f>IF(J44="Duplex",VLOOKUP(M44,'Características dos Cabos MX'!$C$12:$I$14,7),(IF(J44="Triplex",VLOOKUP(M44,'Características dos Cabos MX'!$C$15:$J$20,8),(IF(J44="Quadruplex",VLOOKUP(M44,'Características dos Cabos MX'!$C$21:$K$27,9),(IF(J44="13",VLOOKUP(M44,'Características dos Cabos MX'!$C$15:$L$20,10),"")))))))</f>
        <v/>
      </c>
      <c r="M44" s="412" t="str">
        <f t="shared" si="5"/>
        <v/>
      </c>
      <c r="N44" s="442"/>
      <c r="O44" s="232" t="str">
        <f t="shared" si="6"/>
        <v/>
      </c>
      <c r="P44" s="233" t="str">
        <f>IF(O44="","",SUM($O$33:O44))</f>
        <v/>
      </c>
      <c r="Q44" s="233" t="str">
        <f t="shared" si="7"/>
        <v/>
      </c>
      <c r="R44" s="234" t="str">
        <f>IF(J44="Duplex",VLOOKUP(M44,'Características dos Cabos MX'!$C$12:$I$14,5),(IF(J44="Triplex",VLOOKUP(M44,'Características dos Cabos MX'!$C$15:$J$20,5),(IF(J44="Quadruplex",VLOOKUP(M44,'Características dos Cabos MX'!$C$21:$K$27,5),(IF(J44="13",VLOOKUP(M44,'Características dos Cabos MX'!$C$15:$L$20,5),"")))))))</f>
        <v/>
      </c>
      <c r="S44" s="234" t="str">
        <f>IF(J44="Duplex",VLOOKUP(M44,'Características dos Cabos MX'!$C$12:$I$14,6),(IF(J44="Triplex",VLOOKUP(M44,'Características dos Cabos MX'!$C$15:$J$20,6),(IF(J44="Quadruplex",VLOOKUP(M44,'Características dos Cabos MX'!$C$21:$K$27,6),(IF(J44="13",VLOOKUP(M44,'Características dos Cabos MX'!$C$15:$L$20,6),"")))))))</f>
        <v/>
      </c>
      <c r="T44" s="235" t="str">
        <f t="shared" si="8"/>
        <v/>
      </c>
      <c r="U44" s="236" t="str">
        <f>IF(J44="Duplex",VLOOKUP(M44,'Características dos Cabos MX'!$C$12:$I$14,2),(IF(J44="Triplex",VLOOKUP(M44,'Características dos Cabos MX'!$C$15:$J$20,2),(IF(J44="Quadruplex",VLOOKUP(M44,'Características dos Cabos MX'!$C$21:$K$27,2),(IF(J44="13",VLOOKUP(M44,'Características dos Cabos MX'!$C$15:$L$20,2),"")))))))</f>
        <v/>
      </c>
      <c r="V44" s="234" t="str">
        <f>IF(J44="Duplex",VLOOKUP(M44,'Características dos Cabos MX'!$C$12:$I$14,3),(IF(J44="Triplex",VLOOKUP(M44,'Características dos Cabos MX'!$C$15:$J$20,3),(IF(J44="Quadruplex",VLOOKUP(M44,'Características dos Cabos MX'!$C$21:$K$27,3),(IF(J44="13",VLOOKUP(M44,'Características dos Cabos MX'!$C$15:$L$20,3),"")))))))</f>
        <v/>
      </c>
      <c r="W44" s="237" t="str">
        <f t="shared" si="9"/>
        <v/>
      </c>
      <c r="X44" s="237" t="str">
        <f t="shared" si="10"/>
        <v/>
      </c>
      <c r="Y44" s="238" t="str">
        <f t="shared" si="11"/>
        <v/>
      </c>
      <c r="AA44" s="298">
        <f t="shared" si="1"/>
        <v>0</v>
      </c>
      <c r="AB44" s="298">
        <f t="shared" si="2"/>
        <v>0</v>
      </c>
      <c r="AC44" s="284">
        <f>SUM($N$33:N44)</f>
        <v>0</v>
      </c>
      <c r="AE44" s="299" t="str">
        <f t="shared" si="3"/>
        <v/>
      </c>
      <c r="AF44" s="334">
        <f t="shared" si="4"/>
        <v>0</v>
      </c>
    </row>
    <row r="45" spans="1:36" ht="20.25" customHeight="1" thickTop="1" thickBot="1" x14ac:dyDescent="0.3">
      <c r="A45" s="105"/>
      <c r="B45" s="105"/>
      <c r="C45" s="104"/>
      <c r="D45" s="104"/>
      <c r="J45" s="184"/>
      <c r="K45" s="184"/>
      <c r="L45" s="184"/>
      <c r="M45" s="345" t="str">
        <f>IF(K45="10","a",IF(K45="16","b",IF(K45="25","c",IF(K45="35","d",IF(K45="50","e",(IF(K45="70","f",(IF(K45="120","g","")))))))))</f>
        <v/>
      </c>
      <c r="N45" s="345"/>
      <c r="O45" s="185"/>
      <c r="P45" s="185"/>
      <c r="Q45" s="185"/>
      <c r="R45" s="184"/>
      <c r="S45" s="184"/>
      <c r="T45" s="184" t="str">
        <f>IF(OR(Q45="",R45="",S45=""),"",IF(OR($L$11="PE",$L$11="pe"),Q45/R45,IF(OR($L$11="XLPE",$L$11="xlpe"),Q45/S45,"")))</f>
        <v/>
      </c>
      <c r="U45" s="184"/>
      <c r="V45" s="184"/>
      <c r="W45" s="186"/>
      <c r="X45" s="186"/>
      <c r="Y45" s="187" t="str">
        <f>IF(OR(V45="",W45="",X45=""),"",IF(OR($L$11="PE",$L$11="pe"),W45,IF(OR($L$11="XLPE",$L$11="xlpe"),X45,"")))</f>
        <v/>
      </c>
      <c r="Z45" s="184"/>
      <c r="AA45" s="184"/>
      <c r="AB45" s="184"/>
      <c r="AC45" s="184"/>
      <c r="AD45" s="184"/>
      <c r="AE45" s="299" t="str">
        <f t="shared" ref="AE45:AE108" si="13">IF(OR(E45="",$G$11=""),"",E45*$G$11*($J$11/100+1)^4)</f>
        <v/>
      </c>
      <c r="AF45" s="334">
        <f t="shared" ref="AF45:AF108" si="14">G45</f>
        <v>0</v>
      </c>
      <c r="AG45" s="184"/>
      <c r="AH45" s="184"/>
      <c r="AI45" s="184"/>
      <c r="AJ45" s="184"/>
    </row>
    <row r="46" spans="1:36" ht="15" customHeight="1" thickTop="1" x14ac:dyDescent="0.25">
      <c r="A46" s="574" t="s">
        <v>248</v>
      </c>
      <c r="B46" s="563" t="str">
        <f>CONCATENATE("Ramal 1 - Derivando no ponto ",C46)</f>
        <v xml:space="preserve">Ramal 1 - Derivando no ponto </v>
      </c>
      <c r="C46" s="461"/>
      <c r="D46" s="462"/>
      <c r="E46" s="437"/>
      <c r="F46" s="206" t="str">
        <f t="shared" ref="F46:F109" si="15">IF(OR(E46="",$G$11=""),"",E46*$G$11*($J$11/100+1)^($J$15-1))</f>
        <v/>
      </c>
      <c r="G46" s="450"/>
      <c r="H46" s="250" t="str">
        <f>IF(AND(E46="",G46=""),"",SUM(F46:G55))</f>
        <v/>
      </c>
      <c r="I46" s="208"/>
      <c r="J46" s="209"/>
      <c r="K46" s="209"/>
      <c r="L46" s="251" t="str">
        <f>IF(J46="Duplex",VLOOKUP(M46,'Características dos Cabos MX'!$C$12:$I$14,7),(IF(J46="Triplex",VLOOKUP(M46,'Características dos Cabos MX'!$C$15:$J$20,8),(IF(J46="Quadruplex",VLOOKUP(M46,'Características dos Cabos MX'!$C$21:$K$27,9),(IF(J46="13",VLOOKUP(M46,'Características dos Cabos MX'!$C$15:$L$20,10),"")))))))</f>
        <v/>
      </c>
      <c r="M46" s="414" t="str">
        <f t="shared" si="5"/>
        <v/>
      </c>
      <c r="N46" s="443"/>
      <c r="O46" s="252" t="str">
        <f t="shared" ref="O46:O77" si="16">IF(OR(N46="",L46="",H46=""),"",N46*L46*H46)</f>
        <v/>
      </c>
      <c r="P46" s="253" t="str">
        <f>IF(O46="","",O46+VLOOKUP(C46,$D$20:$Q$44,13,FALSE))</f>
        <v/>
      </c>
      <c r="Q46" s="253" t="str">
        <f t="shared" si="7"/>
        <v/>
      </c>
      <c r="R46" s="254" t="str">
        <f>IF(J46="Duplex",VLOOKUP(M46,'Características dos Cabos MX'!$C$12:$I$14,5),(IF(J46="Triplex",VLOOKUP(M46,'Características dos Cabos MX'!$C$15:$J$20,5),(IF(J46="Quadruplex",VLOOKUP(M46,'Características dos Cabos MX'!$C$21:$K$27,5),(IF(J46="13",VLOOKUP(M46,'Características dos Cabos MX'!$C$15:$L$20,5),"")))))))</f>
        <v/>
      </c>
      <c r="S46" s="254" t="str">
        <f>IF(J46="Duplex",VLOOKUP(M46,'Características dos Cabos MX'!$C$12:$I$14,6),(IF(J46="Triplex",VLOOKUP(M46,'Características dos Cabos MX'!$C$15:$J$20,6),(IF(J46="Quadruplex",VLOOKUP(M46,'Características dos Cabos MX'!$C$21:$K$27,6),(IF(J46="13",VLOOKUP(M46,'Características dos Cabos MX'!$C$15:$L$20,6),"")))))))</f>
        <v/>
      </c>
      <c r="T46" s="255" t="str">
        <f>IF(OR(Q46="",R46="",S46=""),"",IF(OR($L$11="PE",$L$11="pe"),Q46/R46,IF(OR($L$11="XLPE",$L$11="xlpe"),Q46/S46,"")))</f>
        <v/>
      </c>
      <c r="U46" s="256" t="str">
        <f>IF(J46="Duplex",VLOOKUP(M46,'Características dos Cabos MX'!$C$12:$I$14,2),(IF(J46="Triplex",VLOOKUP(M46,'Características dos Cabos MX'!$C$15:$J$20,2),(IF(J46="Quadruplex",VLOOKUP(M46,'Características dos Cabos MX'!$C$21:$K$27,2),(IF(J46="13",VLOOKUP(M46,'Características dos Cabos MX'!$C$15:$L$20,2),"")))))))</f>
        <v/>
      </c>
      <c r="V46" s="254" t="str">
        <f>IF(J46="Duplex",VLOOKUP(M46,'Características dos Cabos MX'!$C$12:$I$14,3),(IF(J46="Triplex",VLOOKUP(M46,'Características dos Cabos MX'!$C$15:$J$20,3),(IF(J46="Quadruplex",VLOOKUP(M46,'Características dos Cabos MX'!$C$21:$K$27,3),(IF(J46="13",VLOOKUP(M46,'Características dos Cabos MX'!$C$15:$L$20,3),"")))))))</f>
        <v/>
      </c>
      <c r="W46" s="257" t="str">
        <f>IF(OR(O46="",$G$15="",H46="",N46=""),"",IF(J46="Quadruplex",3*$L$13*U46*O46/1000*R46^2*8.76,IF(J46="Triplex",2*$L$13*U46*O46/1000*R46^2*8.76,IF(J46="Duplex",$L$13*U46*O46/1000*R46^2*8.76))))</f>
        <v/>
      </c>
      <c r="X46" s="257" t="str">
        <f>IF(OR(O46="",$G$15="",H46="",N46=""),"",IF(J46="Quadruplex",3*$L$13*V46*O46/1000*R46^2*8.76,IF(J46="triplex",2*$L$13*V46*O46/1000*R46^2*8.76,IF(J46="Duplex",$L$13*V46*O46/1000*R46^2*8.76))))</f>
        <v/>
      </c>
      <c r="Y46" s="258" t="str">
        <f>IF(OR(V46="",W46="",X46=""),"",IF($L$11="PE",W46,IF($L$11="XLPE",X46,"")))</f>
        <v/>
      </c>
      <c r="Z46" s="121" t="str">
        <f>IF(O46="","",O46+VLOOKUP(C46,$D$20:$P$44,13,FALSE))</f>
        <v/>
      </c>
      <c r="AA46" s="298">
        <f t="shared" ref="AA46:AA77" si="17">D46</f>
        <v>0</v>
      </c>
      <c r="AB46" s="298">
        <f t="shared" si="2"/>
        <v>0</v>
      </c>
      <c r="AC46" s="284"/>
      <c r="AE46" s="299" t="str">
        <f t="shared" si="13"/>
        <v/>
      </c>
      <c r="AF46" s="334">
        <f t="shared" si="14"/>
        <v>0</v>
      </c>
    </row>
    <row r="47" spans="1:36" ht="15" customHeight="1" x14ac:dyDescent="0.25">
      <c r="A47" s="575"/>
      <c r="B47" s="564"/>
      <c r="C47" s="463"/>
      <c r="D47" s="464"/>
      <c r="E47" s="438"/>
      <c r="F47" s="216" t="str">
        <f t="shared" si="15"/>
        <v/>
      </c>
      <c r="G47" s="451"/>
      <c r="H47" s="217" t="str">
        <f>IF(AND(E47="",G47=""),"",SUM(F47:G55))</f>
        <v/>
      </c>
      <c r="I47" s="218"/>
      <c r="J47" s="259"/>
      <c r="K47" s="259"/>
      <c r="L47" s="226" t="str">
        <f>IF(J47="Duplex",VLOOKUP(M47,'Características dos Cabos MX'!$C$12:$I$14,7),(IF(J47="Triplex",VLOOKUP(M47,'Características dos Cabos MX'!$C$15:$J$20,8),(IF(J47="Quadruplex",VLOOKUP(M47,'Características dos Cabos MX'!$C$21:$K$27,9),(IF(J47="13",VLOOKUP(M47,'Características dos Cabos MX'!$C$15:$L$20,10),"")))))))</f>
        <v/>
      </c>
      <c r="M47" s="410" t="str">
        <f t="shared" si="5"/>
        <v/>
      </c>
      <c r="N47" s="444"/>
      <c r="O47" s="219" t="str">
        <f t="shared" si="16"/>
        <v/>
      </c>
      <c r="P47" s="220" t="str">
        <f>IF(O47="","",P46+O47)</f>
        <v/>
      </c>
      <c r="Q47" s="220" t="str">
        <f>IF(H47="","",IF(J47="Quadruplex",H47*1000/($D$13*SQRT(3)),IF(J47="Triplex",H47*1000*SQRT(3)/($D$13*2),IF(J47="Duplex",H47*1000*SQRT(3)/$D$13,IF(J47="13",H47*1000/$D$15,IF(J47="12",H47*1000*2/$D$15,"erro"))))))</f>
        <v/>
      </c>
      <c r="R47" s="221" t="str">
        <f>IF(J47="Duplex",VLOOKUP(M47,'Características dos Cabos MX'!$C$12:$I$14,5),(IF(J47="Triplex",VLOOKUP(M47,'Características dos Cabos MX'!$C$15:$J$20,5),(IF(J47="Quadruplex",VLOOKUP(M47,'Características dos Cabos MX'!$C$21:$K$27,5),(IF(J47="13",VLOOKUP(M47,'Características dos Cabos MX'!$C$15:$L$20,5),"")))))))</f>
        <v/>
      </c>
      <c r="S47" s="221" t="str">
        <f>IF(J47="Duplex",VLOOKUP(M47,'Características dos Cabos MX'!$C$12:$I$14,6),(IF(J47="Triplex",VLOOKUP(M47,'Características dos Cabos MX'!$C$15:$J$20,6),(IF(J47="Quadruplex",VLOOKUP(M47,'Características dos Cabos MX'!$C$21:$K$27,6),(IF(J47="13",VLOOKUP(M47,'Características dos Cabos MX'!$C$15:$L$20,6),"")))))))</f>
        <v/>
      </c>
      <c r="T47" s="222" t="str">
        <f t="shared" ref="T47:T110" si="18">IF(OR(Q47="",R47="",S47=""),"",IF(OR($L$11="PE",$L$11="pe"),Q47/R47,IF(OR($L$11="XLPE",$L$11="xlpe"),Q47/S47,"")))</f>
        <v/>
      </c>
      <c r="U47" s="223" t="str">
        <f>IF(J47="Duplex",VLOOKUP(M47,'Características dos Cabos MX'!$C$12:$I$14,2),(IF(J47="Triplex",VLOOKUP(M47,'Características dos Cabos MX'!$C$15:$J$20,2),(IF(J47="Quadruplex",VLOOKUP(M47,'Características dos Cabos MX'!$C$21:$K$27,2),(IF(J47="13",VLOOKUP(M47,'Características dos Cabos MX'!$C$15:$L$20,2),"")))))))</f>
        <v/>
      </c>
      <c r="V47" s="221" t="str">
        <f>IF(J47="Duplex",VLOOKUP(M47,'Características dos Cabos MX'!$C$12:$I$14,3),(IF(J47="Triplex",VLOOKUP(M47,'Características dos Cabos MX'!$C$15:$J$20,3),(IF(J47="Quadruplex",VLOOKUP(M47,'Características dos Cabos MX'!$C$21:$K$27,3),(IF(J47="13",VLOOKUP(M47,'Características dos Cabos MX'!$C$15:$L$20,3),"")))))))</f>
        <v/>
      </c>
      <c r="W47" s="224" t="str">
        <f t="shared" ref="W47:W110" si="19">IF(OR(O47="",$G$15="",H47="",N47=""),"",IF(J47="Quadruplex",3*$L$13*U47*O47/1000*R47^2*8.76,IF(J47="Triplex",2*$L$13*U47*O47/1000*R47^2*8.76,IF(J47="Duplex",$L$13*U47*O47/1000*R47^2*8.76))))</f>
        <v/>
      </c>
      <c r="X47" s="224" t="str">
        <f t="shared" ref="X47:X110" si="20">IF(OR(O47="",$G$15="",H47="",N47=""),"",IF(J47="Quadruplex",3*$L$13*V47*O47/1000*R47^2*8.76,IF(J47="triplex",2*$L$13*V47*O47/1000*R47^2*8.76,IF(J47="Duplex",$L$13*V47*O47/1000*R47^2*8.76))))</f>
        <v/>
      </c>
      <c r="Y47" s="225" t="str">
        <f t="shared" ref="Y47:Y110" si="21">IF(OR(V47="",W47="",X47=""),"",IF($L$11="PE",W47,IF($L$11="XLPE",X47,"")))</f>
        <v/>
      </c>
      <c r="AA47" s="298">
        <f t="shared" si="17"/>
        <v>0</v>
      </c>
      <c r="AB47" s="298">
        <f t="shared" si="2"/>
        <v>0</v>
      </c>
      <c r="AC47" s="284"/>
      <c r="AE47" s="299" t="str">
        <f t="shared" si="13"/>
        <v/>
      </c>
      <c r="AF47" s="334">
        <f t="shared" si="14"/>
        <v>0</v>
      </c>
    </row>
    <row r="48" spans="1:36" ht="15" customHeight="1" x14ac:dyDescent="0.25">
      <c r="A48" s="575"/>
      <c r="B48" s="564"/>
      <c r="C48" s="463"/>
      <c r="D48" s="464"/>
      <c r="E48" s="438"/>
      <c r="F48" s="216" t="str">
        <f t="shared" si="15"/>
        <v/>
      </c>
      <c r="G48" s="451"/>
      <c r="H48" s="217" t="str">
        <f>IF(AND(E48="",G48=""),"",SUM(F48:G55))</f>
        <v/>
      </c>
      <c r="I48" s="218"/>
      <c r="J48" s="259"/>
      <c r="K48" s="259"/>
      <c r="L48" s="226" t="str">
        <f>IF(J48="Duplex",VLOOKUP(M48,'Características dos Cabos MX'!$C$12:$I$14,7),(IF(J48="Triplex",VLOOKUP(M48,'Características dos Cabos MX'!$C$15:$J$20,8),(IF(J48="Quadruplex",VLOOKUP(M48,'Características dos Cabos MX'!$C$21:$K$27,9),(IF(J48="13",VLOOKUP(M48,'Características dos Cabos MX'!$C$15:$L$20,10),"")))))))</f>
        <v/>
      </c>
      <c r="M48" s="410" t="str">
        <f t="shared" si="5"/>
        <v/>
      </c>
      <c r="N48" s="444"/>
      <c r="O48" s="219" t="str">
        <f t="shared" si="16"/>
        <v/>
      </c>
      <c r="P48" s="220" t="str">
        <f t="shared" ref="P48:P111" si="22">IF(O48="","",P47+O48)</f>
        <v/>
      </c>
      <c r="Q48" s="220" t="str">
        <f t="shared" si="7"/>
        <v/>
      </c>
      <c r="R48" s="221" t="str">
        <f>IF(J48="Duplex",VLOOKUP(M48,'Características dos Cabos MX'!$C$12:$I$14,5),(IF(J48="Triplex",VLOOKUP(M48,'Características dos Cabos MX'!$C$15:$J$20,5),(IF(J48="Quadruplex",VLOOKUP(M48,'Características dos Cabos MX'!$C$21:$K$27,5),(IF(J48="13",VLOOKUP(M48,'Características dos Cabos MX'!$C$15:$L$20,5),"")))))))</f>
        <v/>
      </c>
      <c r="S48" s="221" t="str">
        <f>IF(J48="Duplex",VLOOKUP(M48,'Características dos Cabos MX'!$C$12:$I$14,6),(IF(J48="Triplex",VLOOKUP(M48,'Características dos Cabos MX'!$C$15:$J$20,6),(IF(J48="Quadruplex",VLOOKUP(M48,'Características dos Cabos MX'!$C$21:$K$27,6),(IF(J48="13",VLOOKUP(M48,'Características dos Cabos MX'!$C$15:$L$20,6),"")))))))</f>
        <v/>
      </c>
      <c r="T48" s="222" t="str">
        <f t="shared" si="18"/>
        <v/>
      </c>
      <c r="U48" s="223" t="str">
        <f>IF(J48="Duplex",VLOOKUP(M48,'Características dos Cabos MX'!$C$12:$I$14,2),(IF(J48="Triplex",VLOOKUP(M48,'Características dos Cabos MX'!$C$15:$J$20,2),(IF(J48="Quadruplex",VLOOKUP(M48,'Características dos Cabos MX'!$C$21:$K$27,2),(IF(J48="13",VLOOKUP(M48,'Características dos Cabos MX'!$C$15:$L$20,2),"")))))))</f>
        <v/>
      </c>
      <c r="V48" s="221" t="str">
        <f>IF(J48="Duplex",VLOOKUP(M48,'Características dos Cabos MX'!$C$12:$I$14,3),(IF(J48="Triplex",VLOOKUP(M48,'Características dos Cabos MX'!$C$15:$J$20,3),(IF(J48="Quadruplex",VLOOKUP(M48,'Características dos Cabos MX'!$C$21:$K$27,3),(IF(J48="13",VLOOKUP(M48,'Características dos Cabos MX'!$C$15:$L$20,3),"")))))))</f>
        <v/>
      </c>
      <c r="W48" s="224" t="str">
        <f t="shared" si="19"/>
        <v/>
      </c>
      <c r="X48" s="224" t="str">
        <f t="shared" si="20"/>
        <v/>
      </c>
      <c r="Y48" s="225" t="str">
        <f t="shared" si="21"/>
        <v/>
      </c>
      <c r="AA48" s="298">
        <f t="shared" si="17"/>
        <v>0</v>
      </c>
      <c r="AB48" s="298">
        <f t="shared" si="2"/>
        <v>0</v>
      </c>
      <c r="AC48" s="284"/>
      <c r="AE48" s="299" t="str">
        <f t="shared" si="13"/>
        <v/>
      </c>
      <c r="AF48" s="334">
        <f t="shared" si="14"/>
        <v>0</v>
      </c>
    </row>
    <row r="49" spans="1:32" ht="15" customHeight="1" x14ac:dyDescent="0.25">
      <c r="A49" s="575"/>
      <c r="B49" s="564"/>
      <c r="C49" s="463"/>
      <c r="D49" s="464"/>
      <c r="E49" s="438"/>
      <c r="F49" s="216" t="str">
        <f t="shared" si="15"/>
        <v/>
      </c>
      <c r="G49" s="451"/>
      <c r="H49" s="217" t="str">
        <f>IF(AND(E49="",G49=""),"",SUM(F49:G55))</f>
        <v/>
      </c>
      <c r="I49" s="218"/>
      <c r="J49" s="259"/>
      <c r="K49" s="259"/>
      <c r="L49" s="226" t="str">
        <f>IF(J49="Duplex",VLOOKUP(M49,'Características dos Cabos MX'!$C$12:$I$14,7),(IF(J49="Triplex",VLOOKUP(M49,'Características dos Cabos MX'!$C$15:$J$20,8),(IF(J49="Quadruplex",VLOOKUP(M49,'Características dos Cabos MX'!$C$21:$K$27,9),(IF(J49="13",VLOOKUP(M49,'Características dos Cabos MX'!$C$15:$L$20,10),"")))))))</f>
        <v/>
      </c>
      <c r="M49" s="410" t="str">
        <f>IF(K49=10,"a",IF(K49=16,"b",IF(K49=25,"c",IF(K49=35,"d",IF(K49=50,"e",(IF(K49=70,"f",(IF(K49=120,"g","")))))))))</f>
        <v/>
      </c>
      <c r="N49" s="444"/>
      <c r="O49" s="219" t="str">
        <f t="shared" si="16"/>
        <v/>
      </c>
      <c r="P49" s="220" t="str">
        <f t="shared" si="22"/>
        <v/>
      </c>
      <c r="Q49" s="220" t="str">
        <f t="shared" si="7"/>
        <v/>
      </c>
      <c r="R49" s="221" t="str">
        <f>IF(J49="Duplex",VLOOKUP(M49,'Características dos Cabos MX'!$C$12:$I$14,5),(IF(J49="Triplex",VLOOKUP(M49,'Características dos Cabos MX'!$C$15:$J$20,5),(IF(J49="Quadruplex",VLOOKUP(M49,'Características dos Cabos MX'!$C$21:$K$27,5),(IF(J49="13",VLOOKUP(M49,'Características dos Cabos MX'!$C$15:$L$20,5),"")))))))</f>
        <v/>
      </c>
      <c r="S49" s="221" t="str">
        <f>IF(J49="Duplex",VLOOKUP(M49,'Características dos Cabos MX'!$C$12:$I$14,6),(IF(J49="Triplex",VLOOKUP(M49,'Características dos Cabos MX'!$C$15:$J$20,6),(IF(J49="Quadruplex",VLOOKUP(M49,'Características dos Cabos MX'!$C$21:$K$27,6),(IF(J49="13",VLOOKUP(M49,'Características dos Cabos MX'!$C$15:$L$20,6),"")))))))</f>
        <v/>
      </c>
      <c r="T49" s="222" t="str">
        <f t="shared" si="18"/>
        <v/>
      </c>
      <c r="U49" s="223" t="str">
        <f>IF(J49="Duplex",VLOOKUP(M49,'Características dos Cabos MX'!$C$12:$I$14,2),(IF(J49="Triplex",VLOOKUP(M49,'Características dos Cabos MX'!$C$15:$J$20,2),(IF(J49="Quadruplex",VLOOKUP(M49,'Características dos Cabos MX'!$C$21:$K$27,2),(IF(J49="13",VLOOKUP(M49,'Características dos Cabos MX'!$C$15:$L$20,2),"")))))))</f>
        <v/>
      </c>
      <c r="V49" s="221" t="str">
        <f>IF(J49="Duplex",VLOOKUP(M49,'Características dos Cabos MX'!$C$12:$I$14,3),(IF(J49="Triplex",VLOOKUP(M49,'Características dos Cabos MX'!$C$15:$J$20,3),(IF(J49="Quadruplex",VLOOKUP(M49,'Características dos Cabos MX'!$C$21:$K$27,3),(IF(J49="13",VLOOKUP(M49,'Características dos Cabos MX'!$C$15:$L$20,3),"")))))))</f>
        <v/>
      </c>
      <c r="W49" s="224" t="str">
        <f t="shared" si="19"/>
        <v/>
      </c>
      <c r="X49" s="224" t="str">
        <f t="shared" si="20"/>
        <v/>
      </c>
      <c r="Y49" s="225" t="str">
        <f t="shared" si="21"/>
        <v/>
      </c>
      <c r="AA49" s="298">
        <f t="shared" si="17"/>
        <v>0</v>
      </c>
      <c r="AB49" s="298">
        <f>K49</f>
        <v>0</v>
      </c>
      <c r="AC49" s="284"/>
      <c r="AE49" s="299" t="str">
        <f t="shared" si="13"/>
        <v/>
      </c>
      <c r="AF49" s="334">
        <f t="shared" si="14"/>
        <v>0</v>
      </c>
    </row>
    <row r="50" spans="1:32" ht="15" customHeight="1" x14ac:dyDescent="0.25">
      <c r="A50" s="575"/>
      <c r="B50" s="564"/>
      <c r="C50" s="463"/>
      <c r="D50" s="464"/>
      <c r="E50" s="438"/>
      <c r="F50" s="216" t="str">
        <f t="shared" si="15"/>
        <v/>
      </c>
      <c r="G50" s="451"/>
      <c r="H50" s="217" t="str">
        <f>IF(AND(E50="",G50=""),"",SUM(F50:G55))</f>
        <v/>
      </c>
      <c r="I50" s="218"/>
      <c r="J50" s="259"/>
      <c r="K50" s="259"/>
      <c r="L50" s="226" t="str">
        <f>IF(J50="Duplex",VLOOKUP(M50,'Características dos Cabos MX'!$C$12:$I$14,7),(IF(J50="Triplex",VLOOKUP(M50,'Características dos Cabos MX'!$C$15:$J$20,8),(IF(J50="Quadruplex",VLOOKUP(M50,'Características dos Cabos MX'!$C$21:$K$27,9),(IF(J50="13",VLOOKUP(M50,'Características dos Cabos MX'!$C$15:$L$20,10),"")))))))</f>
        <v/>
      </c>
      <c r="M50" s="410" t="str">
        <f t="shared" si="5"/>
        <v/>
      </c>
      <c r="N50" s="444"/>
      <c r="O50" s="219" t="str">
        <f t="shared" si="16"/>
        <v/>
      </c>
      <c r="P50" s="220" t="str">
        <f t="shared" si="22"/>
        <v/>
      </c>
      <c r="Q50" s="220" t="str">
        <f t="shared" si="7"/>
        <v/>
      </c>
      <c r="R50" s="221" t="str">
        <f>IF(J50="Duplex",VLOOKUP(M50,'Características dos Cabos MX'!$C$12:$I$14,5),(IF(J50="Triplex",VLOOKUP(M50,'Características dos Cabos MX'!$C$15:$J$20,5),(IF(J50="Quadruplex",VLOOKUP(M50,'Características dos Cabos MX'!$C$21:$K$27,5),(IF(J50="13",VLOOKUP(M50,'Características dos Cabos MX'!$C$15:$L$20,5),"")))))))</f>
        <v/>
      </c>
      <c r="S50" s="221" t="str">
        <f>IF(J50="Duplex",VLOOKUP(M50,'Características dos Cabos MX'!$C$12:$I$14,6),(IF(J50="Triplex",VLOOKUP(M50,'Características dos Cabos MX'!$C$15:$J$20,6),(IF(J50="Quadruplex",VLOOKUP(M50,'Características dos Cabos MX'!$C$21:$K$27,6),(IF(J50="13",VLOOKUP(M50,'Características dos Cabos MX'!$C$15:$L$20,6),"")))))))</f>
        <v/>
      </c>
      <c r="T50" s="222" t="str">
        <f t="shared" si="18"/>
        <v/>
      </c>
      <c r="U50" s="223" t="str">
        <f>IF(J50="Duplex",VLOOKUP(M50,'Características dos Cabos MX'!$C$12:$I$14,2),(IF(J50="Triplex",VLOOKUP(M50,'Características dos Cabos MX'!$C$15:$J$20,2),(IF(J50="Quadruplex",VLOOKUP(M50,'Características dos Cabos MX'!$C$21:$K$27,2),(IF(J50="13",VLOOKUP(M50,'Características dos Cabos MX'!$C$15:$L$20,2),"")))))))</f>
        <v/>
      </c>
      <c r="V50" s="221" t="str">
        <f>IF(J50="Duplex",VLOOKUP(M50,'Características dos Cabos MX'!$C$12:$I$14,3),(IF(J50="Triplex",VLOOKUP(M50,'Características dos Cabos MX'!$C$15:$J$20,3),(IF(J50="Quadruplex",VLOOKUP(M50,'Características dos Cabos MX'!$C$21:$K$27,3),(IF(J50="13",VLOOKUP(M50,'Características dos Cabos MX'!$C$15:$L$20,3),"")))))))</f>
        <v/>
      </c>
      <c r="W50" s="224" t="str">
        <f t="shared" si="19"/>
        <v/>
      </c>
      <c r="X50" s="224" t="str">
        <f t="shared" si="20"/>
        <v/>
      </c>
      <c r="Y50" s="225" t="str">
        <f t="shared" si="21"/>
        <v/>
      </c>
      <c r="AA50" s="298">
        <f t="shared" si="17"/>
        <v>0</v>
      </c>
      <c r="AB50" s="298">
        <f t="shared" si="2"/>
        <v>0</v>
      </c>
      <c r="AC50" s="284"/>
      <c r="AE50" s="299" t="str">
        <f t="shared" si="13"/>
        <v/>
      </c>
      <c r="AF50" s="334">
        <f t="shared" si="14"/>
        <v>0</v>
      </c>
    </row>
    <row r="51" spans="1:32" ht="15" customHeight="1" x14ac:dyDescent="0.25">
      <c r="A51" s="575"/>
      <c r="B51" s="564"/>
      <c r="C51" s="463"/>
      <c r="D51" s="464"/>
      <c r="E51" s="438"/>
      <c r="F51" s="216" t="str">
        <f t="shared" si="15"/>
        <v/>
      </c>
      <c r="G51" s="451"/>
      <c r="H51" s="217" t="str">
        <f>IF(AND(E51="",G51=""),"",SUM(F51:G55))</f>
        <v/>
      </c>
      <c r="I51" s="218"/>
      <c r="J51" s="259"/>
      <c r="K51" s="259"/>
      <c r="L51" s="226" t="str">
        <f>IF(J51="Duplex",VLOOKUP(M51,'Características dos Cabos MX'!$C$12:$I$14,7),(IF(J51="Triplex",VLOOKUP(M51,'Características dos Cabos MX'!$C$15:$J$20,8),(IF(J51="Quadruplex",VLOOKUP(M51,'Características dos Cabos MX'!$C$21:$K$27,9),(IF(J51="13",VLOOKUP(M51,'Características dos Cabos MX'!$C$15:$L$20,10),"")))))))</f>
        <v/>
      </c>
      <c r="M51" s="410" t="str">
        <f t="shared" si="5"/>
        <v/>
      </c>
      <c r="N51" s="444"/>
      <c r="O51" s="219" t="str">
        <f t="shared" si="16"/>
        <v/>
      </c>
      <c r="P51" s="220" t="str">
        <f t="shared" si="22"/>
        <v/>
      </c>
      <c r="Q51" s="220" t="str">
        <f t="shared" si="7"/>
        <v/>
      </c>
      <c r="R51" s="221" t="str">
        <f>IF(J51="Duplex",VLOOKUP(M51,'Características dos Cabos MX'!$C$12:$I$14,5),(IF(J51="Triplex",VLOOKUP(M51,'Características dos Cabos MX'!$C$15:$J$20,5),(IF(J51="Quadruplex",VLOOKUP(M51,'Características dos Cabos MX'!$C$21:$K$27,5),(IF(J51="13",VLOOKUP(M51,'Características dos Cabos MX'!$C$15:$L$20,5),"")))))))</f>
        <v/>
      </c>
      <c r="S51" s="221" t="str">
        <f>IF(J51="Duplex",VLOOKUP(M51,'Características dos Cabos MX'!$C$12:$I$14,6),(IF(J51="Triplex",VLOOKUP(M51,'Características dos Cabos MX'!$C$15:$J$20,6),(IF(J51="Quadruplex",VLOOKUP(M51,'Características dos Cabos MX'!$C$21:$K$27,6),(IF(J51="13",VLOOKUP(M51,'Características dos Cabos MX'!$C$15:$L$20,6),"")))))))</f>
        <v/>
      </c>
      <c r="T51" s="222" t="str">
        <f t="shared" si="18"/>
        <v/>
      </c>
      <c r="U51" s="223" t="str">
        <f>IF(J51="Duplex",VLOOKUP(M51,'Características dos Cabos MX'!$C$12:$I$14,2),(IF(J51="Triplex",VLOOKUP(M51,'Características dos Cabos MX'!$C$15:$J$20,2),(IF(J51="Quadruplex",VLOOKUP(M51,'Características dos Cabos MX'!$C$21:$K$27,2),(IF(J51="13",VLOOKUP(M51,'Características dos Cabos MX'!$C$15:$L$20,2),"")))))))</f>
        <v/>
      </c>
      <c r="V51" s="221" t="str">
        <f>IF(J51="Duplex",VLOOKUP(M51,'Características dos Cabos MX'!$C$12:$I$14,3),(IF(J51="Triplex",VLOOKUP(M51,'Características dos Cabos MX'!$C$15:$J$20,3),(IF(J51="Quadruplex",VLOOKUP(M51,'Características dos Cabos MX'!$C$21:$K$27,3),(IF(J51="13",VLOOKUP(M51,'Características dos Cabos MX'!$C$15:$L$20,3),"")))))))</f>
        <v/>
      </c>
      <c r="W51" s="224" t="str">
        <f t="shared" si="19"/>
        <v/>
      </c>
      <c r="X51" s="224" t="str">
        <f t="shared" si="20"/>
        <v/>
      </c>
      <c r="Y51" s="225" t="str">
        <f t="shared" si="21"/>
        <v/>
      </c>
      <c r="AA51" s="298">
        <f t="shared" si="17"/>
        <v>0</v>
      </c>
      <c r="AB51" s="298">
        <f t="shared" si="2"/>
        <v>0</v>
      </c>
      <c r="AC51" s="284"/>
      <c r="AE51" s="299" t="str">
        <f t="shared" si="13"/>
        <v/>
      </c>
      <c r="AF51" s="334">
        <f t="shared" si="14"/>
        <v>0</v>
      </c>
    </row>
    <row r="52" spans="1:32" ht="15" customHeight="1" x14ac:dyDescent="0.25">
      <c r="A52" s="575"/>
      <c r="B52" s="564"/>
      <c r="C52" s="432"/>
      <c r="D52" s="433"/>
      <c r="E52" s="438"/>
      <c r="F52" s="216" t="str">
        <f t="shared" si="15"/>
        <v/>
      </c>
      <c r="G52" s="451"/>
      <c r="H52" s="217" t="str">
        <f>IF(AND(E52="",G52=""),"",SUM(F52:G55))</f>
        <v/>
      </c>
      <c r="I52" s="218"/>
      <c r="J52" s="259"/>
      <c r="K52" s="259"/>
      <c r="L52" s="226" t="str">
        <f>IF(J52="Duplex",VLOOKUP(M52,'Características dos Cabos MX'!$C$12:$I$14,7),(IF(J52="Triplex",VLOOKUP(M52,'Características dos Cabos MX'!$C$15:$J$20,8),(IF(J52="Quadruplex",VLOOKUP(M52,'Características dos Cabos MX'!$C$21:$K$27,9),(IF(J52="13",VLOOKUP(M52,'Características dos Cabos MX'!$C$15:$L$20,10),"")))))))</f>
        <v/>
      </c>
      <c r="M52" s="410" t="str">
        <f t="shared" si="5"/>
        <v/>
      </c>
      <c r="N52" s="444"/>
      <c r="O52" s="219" t="str">
        <f t="shared" si="16"/>
        <v/>
      </c>
      <c r="P52" s="220" t="str">
        <f t="shared" si="22"/>
        <v/>
      </c>
      <c r="Q52" s="220" t="str">
        <f t="shared" si="7"/>
        <v/>
      </c>
      <c r="R52" s="221" t="str">
        <f>IF(J52="Duplex",VLOOKUP(M52,'Características dos Cabos MX'!$C$12:$I$14,5),(IF(J52="Triplex",VLOOKUP(M52,'Características dos Cabos MX'!$C$15:$J$20,5),(IF(J52="Quadruplex",VLOOKUP(M52,'Características dos Cabos MX'!$C$21:$K$27,5),(IF(J52="13",VLOOKUP(M52,'Características dos Cabos MX'!$C$15:$L$20,5),"")))))))</f>
        <v/>
      </c>
      <c r="S52" s="221" t="str">
        <f>IF(J52="Duplex",VLOOKUP(M52,'Características dos Cabos MX'!$C$12:$I$14,6),(IF(J52="Triplex",VLOOKUP(M52,'Características dos Cabos MX'!$C$15:$J$20,6),(IF(J52="Quadruplex",VLOOKUP(M52,'Características dos Cabos MX'!$C$21:$K$27,6),(IF(J52="13",VLOOKUP(M52,'Características dos Cabos MX'!$C$15:$L$20,6),"")))))))</f>
        <v/>
      </c>
      <c r="T52" s="222" t="str">
        <f t="shared" si="18"/>
        <v/>
      </c>
      <c r="U52" s="223" t="str">
        <f>IF(J52="Duplex",VLOOKUP(M52,'Características dos Cabos MX'!$C$12:$I$14,2),(IF(J52="Triplex",VLOOKUP(M52,'Características dos Cabos MX'!$C$15:$J$20,2),(IF(J52="Quadruplex",VLOOKUP(M52,'Características dos Cabos MX'!$C$21:$K$27,2),(IF(J52="13",VLOOKUP(M52,'Características dos Cabos MX'!$C$15:$L$20,2),"")))))))</f>
        <v/>
      </c>
      <c r="V52" s="221" t="str">
        <f>IF(J52="Duplex",VLOOKUP(M52,'Características dos Cabos MX'!$C$12:$I$14,3),(IF(J52="Triplex",VLOOKUP(M52,'Características dos Cabos MX'!$C$15:$J$20,3),(IF(J52="Quadruplex",VLOOKUP(M52,'Características dos Cabos MX'!$C$21:$K$27,3),(IF(J52="13",VLOOKUP(M52,'Características dos Cabos MX'!$C$15:$L$20,3),"")))))))</f>
        <v/>
      </c>
      <c r="W52" s="224" t="str">
        <f t="shared" si="19"/>
        <v/>
      </c>
      <c r="X52" s="224" t="str">
        <f t="shared" si="20"/>
        <v/>
      </c>
      <c r="Y52" s="225" t="str">
        <f t="shared" si="21"/>
        <v/>
      </c>
      <c r="AA52" s="298">
        <f t="shared" si="17"/>
        <v>0</v>
      </c>
      <c r="AB52" s="298">
        <f t="shared" si="2"/>
        <v>0</v>
      </c>
      <c r="AC52" s="284"/>
      <c r="AE52" s="299" t="str">
        <f t="shared" si="13"/>
        <v/>
      </c>
      <c r="AF52" s="334">
        <f t="shared" si="14"/>
        <v>0</v>
      </c>
    </row>
    <row r="53" spans="1:32" ht="15" customHeight="1" x14ac:dyDescent="0.25">
      <c r="A53" s="575"/>
      <c r="B53" s="564"/>
      <c r="C53" s="432"/>
      <c r="D53" s="433"/>
      <c r="E53" s="438"/>
      <c r="F53" s="216" t="str">
        <f t="shared" si="15"/>
        <v/>
      </c>
      <c r="G53" s="451"/>
      <c r="H53" s="217" t="str">
        <f>IF(AND(E53="",G53=""),"",SUM(F53:G55))</f>
        <v/>
      </c>
      <c r="I53" s="218"/>
      <c r="J53" s="259"/>
      <c r="K53" s="259"/>
      <c r="L53" s="226" t="str">
        <f>IF(J53="Duplex",VLOOKUP(M53,'Características dos Cabos MX'!$C$12:$I$14,7),(IF(J53="Triplex",VLOOKUP(M53,'Características dos Cabos MX'!$C$15:$J$20,8),(IF(J53="Quadruplex",VLOOKUP(M53,'Características dos Cabos MX'!$C$21:$K$27,9),(IF(J53="13",VLOOKUP(M53,'Características dos Cabos MX'!$C$15:$L$20,10),"")))))))</f>
        <v/>
      </c>
      <c r="M53" s="410" t="str">
        <f t="shared" si="5"/>
        <v/>
      </c>
      <c r="N53" s="444"/>
      <c r="O53" s="219" t="str">
        <f t="shared" si="16"/>
        <v/>
      </c>
      <c r="P53" s="220" t="str">
        <f t="shared" si="22"/>
        <v/>
      </c>
      <c r="Q53" s="220" t="str">
        <f t="shared" si="7"/>
        <v/>
      </c>
      <c r="R53" s="221" t="str">
        <f>IF(J53="Duplex",VLOOKUP(M53,'Características dos Cabos MX'!$C$12:$I$14,5),(IF(J53="Triplex",VLOOKUP(M53,'Características dos Cabos MX'!$C$15:$J$20,5),(IF(J53="Quadruplex",VLOOKUP(M53,'Características dos Cabos MX'!$C$21:$K$27,5),(IF(J53="13",VLOOKUP(M53,'Características dos Cabos MX'!$C$15:$L$20,5),"")))))))</f>
        <v/>
      </c>
      <c r="S53" s="221" t="str">
        <f>IF(J53="Duplex",VLOOKUP(M53,'Características dos Cabos MX'!$C$12:$I$14,6),(IF(J53="Triplex",VLOOKUP(M53,'Características dos Cabos MX'!$C$15:$J$20,6),(IF(J53="Quadruplex",VLOOKUP(M53,'Características dos Cabos MX'!$C$21:$K$27,6),(IF(J53="13",VLOOKUP(M53,'Características dos Cabos MX'!$C$15:$L$20,6),"")))))))</f>
        <v/>
      </c>
      <c r="T53" s="222" t="str">
        <f t="shared" si="18"/>
        <v/>
      </c>
      <c r="U53" s="223" t="str">
        <f>IF(J53="Duplex",VLOOKUP(M53,'Características dos Cabos MX'!$C$12:$I$14,2),(IF(J53="Triplex",VLOOKUP(M53,'Características dos Cabos MX'!$C$15:$J$20,2),(IF(J53="Quadruplex",VLOOKUP(M53,'Características dos Cabos MX'!$C$21:$K$27,2),(IF(J53="13",VLOOKUP(M53,'Características dos Cabos MX'!$C$15:$L$20,2),"")))))))</f>
        <v/>
      </c>
      <c r="V53" s="221" t="str">
        <f>IF(J53="Duplex",VLOOKUP(M53,'Características dos Cabos MX'!$C$12:$I$14,3),(IF(J53="Triplex",VLOOKUP(M53,'Características dos Cabos MX'!$C$15:$J$20,3),(IF(J53="Quadruplex",VLOOKUP(M53,'Características dos Cabos MX'!$C$21:$K$27,3),(IF(J53="13",VLOOKUP(M53,'Características dos Cabos MX'!$C$15:$L$20,3),"")))))))</f>
        <v/>
      </c>
      <c r="W53" s="224" t="str">
        <f t="shared" si="19"/>
        <v/>
      </c>
      <c r="X53" s="224" t="str">
        <f t="shared" si="20"/>
        <v/>
      </c>
      <c r="Y53" s="225" t="str">
        <f t="shared" si="21"/>
        <v/>
      </c>
      <c r="AA53" s="298">
        <f t="shared" si="17"/>
        <v>0</v>
      </c>
      <c r="AB53" s="298">
        <f t="shared" si="2"/>
        <v>0</v>
      </c>
      <c r="AC53" s="284"/>
      <c r="AE53" s="299" t="str">
        <f t="shared" si="13"/>
        <v/>
      </c>
      <c r="AF53" s="334">
        <f t="shared" si="14"/>
        <v>0</v>
      </c>
    </row>
    <row r="54" spans="1:32" ht="15" customHeight="1" x14ac:dyDescent="0.25">
      <c r="A54" s="575"/>
      <c r="B54" s="564"/>
      <c r="C54" s="432"/>
      <c r="D54" s="433"/>
      <c r="E54" s="438"/>
      <c r="F54" s="216" t="str">
        <f t="shared" si="15"/>
        <v/>
      </c>
      <c r="G54" s="451"/>
      <c r="H54" s="217" t="str">
        <f>IF(AND(E54="",G54=""),"",SUM(F54:G55))</f>
        <v/>
      </c>
      <c r="I54" s="218"/>
      <c r="J54" s="259"/>
      <c r="K54" s="259"/>
      <c r="L54" s="226" t="str">
        <f>IF(J54="Duplex",VLOOKUP(M54,'Características dos Cabos MX'!$C$12:$I$14,7),(IF(J54="Triplex",VLOOKUP(M54,'Características dos Cabos MX'!$C$15:$J$20,8),(IF(J54="Quadruplex",VLOOKUP(M54,'Características dos Cabos MX'!$C$21:$K$27,9),(IF(J54="13",VLOOKUP(M54,'Características dos Cabos MX'!$C$15:$L$20,10),"")))))))</f>
        <v/>
      </c>
      <c r="M54" s="410" t="str">
        <f t="shared" si="5"/>
        <v/>
      </c>
      <c r="N54" s="444"/>
      <c r="O54" s="219" t="str">
        <f t="shared" si="16"/>
        <v/>
      </c>
      <c r="P54" s="220" t="str">
        <f t="shared" si="22"/>
        <v/>
      </c>
      <c r="Q54" s="220" t="str">
        <f t="shared" si="7"/>
        <v/>
      </c>
      <c r="R54" s="221" t="str">
        <f>IF(J54="Duplex",VLOOKUP(M54,'Características dos Cabos MX'!$C$12:$I$14,5),(IF(J54="Triplex",VLOOKUP(M54,'Características dos Cabos MX'!$C$15:$J$20,5),(IF(J54="Quadruplex",VLOOKUP(M54,'Características dos Cabos MX'!$C$21:$K$27,5),(IF(J54="13",VLOOKUP(M54,'Características dos Cabos MX'!$C$15:$L$20,5),"")))))))</f>
        <v/>
      </c>
      <c r="S54" s="221" t="str">
        <f>IF(J54="Duplex",VLOOKUP(M54,'Características dos Cabos MX'!$C$12:$I$14,6),(IF(J54="Triplex",VLOOKUP(M54,'Características dos Cabos MX'!$C$15:$J$20,6),(IF(J54="Quadruplex",VLOOKUP(M54,'Características dos Cabos MX'!$C$21:$K$27,6),(IF(J54="13",VLOOKUP(M54,'Características dos Cabos MX'!$C$15:$L$20,6),"")))))))</f>
        <v/>
      </c>
      <c r="T54" s="222" t="str">
        <f t="shared" si="18"/>
        <v/>
      </c>
      <c r="U54" s="223" t="str">
        <f>IF(J54="Duplex",VLOOKUP(M54,'Características dos Cabos MX'!$C$12:$I$14,2),(IF(J54="Triplex",VLOOKUP(M54,'Características dos Cabos MX'!$C$15:$J$20,2),(IF(J54="Quadruplex",VLOOKUP(M54,'Características dos Cabos MX'!$C$21:$K$27,2),(IF(J54="13",VLOOKUP(M54,'Características dos Cabos MX'!$C$15:$L$20,2),"")))))))</f>
        <v/>
      </c>
      <c r="V54" s="221" t="str">
        <f>IF(J54="Duplex",VLOOKUP(M54,'Características dos Cabos MX'!$C$12:$I$14,3),(IF(J54="Triplex",VLOOKUP(M54,'Características dos Cabos MX'!$C$15:$J$20,3),(IF(J54="Quadruplex",VLOOKUP(M54,'Características dos Cabos MX'!$C$21:$K$27,3),(IF(J54="13",VLOOKUP(M54,'Características dos Cabos MX'!$C$15:$L$20,3),"")))))))</f>
        <v/>
      </c>
      <c r="W54" s="224" t="str">
        <f t="shared" si="19"/>
        <v/>
      </c>
      <c r="X54" s="224" t="str">
        <f t="shared" si="20"/>
        <v/>
      </c>
      <c r="Y54" s="225" t="str">
        <f t="shared" si="21"/>
        <v/>
      </c>
      <c r="AA54" s="298">
        <f t="shared" si="17"/>
        <v>0</v>
      </c>
      <c r="AB54" s="298">
        <f t="shared" si="2"/>
        <v>0</v>
      </c>
      <c r="AC54" s="284"/>
      <c r="AE54" s="299" t="str">
        <f t="shared" si="13"/>
        <v/>
      </c>
      <c r="AF54" s="334">
        <f t="shared" si="14"/>
        <v>0</v>
      </c>
    </row>
    <row r="55" spans="1:32" ht="15" customHeight="1" thickBot="1" x14ac:dyDescent="0.3">
      <c r="A55" s="575"/>
      <c r="B55" s="565"/>
      <c r="C55" s="434"/>
      <c r="D55" s="435"/>
      <c r="E55" s="439"/>
      <c r="F55" s="228" t="str">
        <f t="shared" si="15"/>
        <v/>
      </c>
      <c r="G55" s="452"/>
      <c r="H55" s="229" t="str">
        <f>IF(AND(E55="",G55=""),"",SUM(F55:G55))</f>
        <v/>
      </c>
      <c r="I55" s="230"/>
      <c r="J55" s="260"/>
      <c r="K55" s="260"/>
      <c r="L55" s="231" t="str">
        <f>IF(J55="Duplex",VLOOKUP(M55,'Características dos Cabos MX'!$C$12:$I$14,7),(IF(J55="Triplex",VLOOKUP(M55,'Características dos Cabos MX'!$C$15:$J$20,8),(IF(J55="Quadruplex",VLOOKUP(M55,'Características dos Cabos MX'!$C$21:$K$27,9),(IF(J55="13",VLOOKUP(M55,'Características dos Cabos MX'!$C$15:$L$20,10),"")))))))</f>
        <v/>
      </c>
      <c r="M55" s="412" t="str">
        <f t="shared" si="5"/>
        <v/>
      </c>
      <c r="N55" s="445"/>
      <c r="O55" s="232" t="str">
        <f t="shared" si="16"/>
        <v/>
      </c>
      <c r="P55" s="233" t="str">
        <f t="shared" si="22"/>
        <v/>
      </c>
      <c r="Q55" s="233" t="str">
        <f t="shared" si="7"/>
        <v/>
      </c>
      <c r="R55" s="234" t="str">
        <f>IF(J55="Duplex",VLOOKUP(M55,'Características dos Cabos MX'!$C$12:$I$14,5),(IF(J55="Triplex",VLOOKUP(M55,'Características dos Cabos MX'!$C$15:$J$20,5),(IF(J55="Quadruplex",VLOOKUP(M55,'Características dos Cabos MX'!$C$21:$K$27,5),(IF(J55="13",VLOOKUP(M55,'Características dos Cabos MX'!$C$15:$L$20,5),"")))))))</f>
        <v/>
      </c>
      <c r="S55" s="234" t="str">
        <f>IF(J55="Duplex",VLOOKUP(M55,'Características dos Cabos MX'!$C$12:$I$14,6),(IF(J55="Triplex",VLOOKUP(M55,'Características dos Cabos MX'!$C$15:$J$20,6),(IF(J55="Quadruplex",VLOOKUP(M55,'Características dos Cabos MX'!$C$21:$K$27,6),(IF(J55="13",VLOOKUP(M55,'Características dos Cabos MX'!$C$15:$L$20,6),"")))))))</f>
        <v/>
      </c>
      <c r="T55" s="235" t="str">
        <f t="shared" si="18"/>
        <v/>
      </c>
      <c r="U55" s="236" t="str">
        <f>IF(J55="Duplex",VLOOKUP(M55,'Características dos Cabos MX'!$C$12:$I$14,2),(IF(J55="Triplex",VLOOKUP(M55,'Características dos Cabos MX'!$C$15:$J$20,2),(IF(J55="Quadruplex",VLOOKUP(M55,'Características dos Cabos MX'!$C$21:$K$27,2),(IF(J55="13",VLOOKUP(M55,'Características dos Cabos MX'!$C$15:$L$20,2),"")))))))</f>
        <v/>
      </c>
      <c r="V55" s="234" t="str">
        <f>IF(J55="Duplex",VLOOKUP(M55,'Características dos Cabos MX'!$C$12:$I$14,3),(IF(J55="Triplex",VLOOKUP(M55,'Características dos Cabos MX'!$C$15:$J$20,3),(IF(J55="Quadruplex",VLOOKUP(M55,'Características dos Cabos MX'!$C$21:$K$27,3),(IF(J55="13",VLOOKUP(M55,'Características dos Cabos MX'!$C$15:$L$20,3),"")))))))</f>
        <v/>
      </c>
      <c r="W55" s="237" t="str">
        <f t="shared" si="19"/>
        <v/>
      </c>
      <c r="X55" s="237" t="str">
        <f t="shared" si="20"/>
        <v/>
      </c>
      <c r="Y55" s="238" t="str">
        <f t="shared" si="21"/>
        <v/>
      </c>
      <c r="AA55" s="298">
        <f t="shared" si="17"/>
        <v>0</v>
      </c>
      <c r="AB55" s="298">
        <f t="shared" si="2"/>
        <v>0</v>
      </c>
      <c r="AC55" s="284"/>
      <c r="AE55" s="299" t="str">
        <f t="shared" si="13"/>
        <v/>
      </c>
      <c r="AF55" s="334">
        <f t="shared" si="14"/>
        <v>0</v>
      </c>
    </row>
    <row r="56" spans="1:32" ht="15" customHeight="1" thickTop="1" x14ac:dyDescent="0.25">
      <c r="A56" s="575"/>
      <c r="B56" s="563" t="str">
        <f>CONCATENATE("Ramal 2 - Derivando no ponto ",C56)</f>
        <v xml:space="preserve">Ramal 2 - Derivando no ponto </v>
      </c>
      <c r="C56" s="461"/>
      <c r="D56" s="465"/>
      <c r="E56" s="440"/>
      <c r="F56" s="239" t="str">
        <f t="shared" si="15"/>
        <v/>
      </c>
      <c r="G56" s="453"/>
      <c r="H56" s="240" t="str">
        <f>IF(AND(E56="",G56=""),"",SUM(F56:G65))</f>
        <v/>
      </c>
      <c r="I56" s="241"/>
      <c r="J56" s="262"/>
      <c r="K56" s="262"/>
      <c r="L56" s="242" t="str">
        <f>IF(J56="Duplex",VLOOKUP(M56,'Características dos Cabos MX'!$C$12:$I$14,7),(IF(J56="Triplex",VLOOKUP(M56,'Características dos Cabos MX'!$C$15:$J$20,8),(IF(J56="Quadruplex",VLOOKUP(M56,'Características dos Cabos MX'!$C$21:$K$27,9),(IF(J56="13",VLOOKUP(M56,'Características dos Cabos MX'!$C$15:$L$20,10),"")))))))</f>
        <v/>
      </c>
      <c r="M56" s="413" t="str">
        <f t="shared" si="5"/>
        <v/>
      </c>
      <c r="N56" s="446"/>
      <c r="O56" s="243" t="str">
        <f t="shared" si="16"/>
        <v/>
      </c>
      <c r="P56" s="244" t="str">
        <f>IF(O56="","",O56+VLOOKUP(C56,$D$20:$Q$55,13,FALSE))</f>
        <v/>
      </c>
      <c r="Q56" s="244" t="str">
        <f t="shared" si="7"/>
        <v/>
      </c>
      <c r="R56" s="245" t="str">
        <f>IF(J56="Duplex",VLOOKUP(M56,'Características dos Cabos MX'!$C$12:$I$14,5),(IF(J56="Triplex",VLOOKUP(M56,'Características dos Cabos MX'!$C$15:$J$20,5),(IF(J56="Quadruplex",VLOOKUP(M56,'Características dos Cabos MX'!$C$21:$K$27,5),(IF(J56="13",VLOOKUP(M56,'Características dos Cabos MX'!$C$15:$L$20,5),"")))))))</f>
        <v/>
      </c>
      <c r="S56" s="245" t="str">
        <f>IF(J56="Duplex",VLOOKUP(M56,'Características dos Cabos MX'!$C$12:$I$14,6),(IF(J56="Triplex",VLOOKUP(M56,'Características dos Cabos MX'!$C$15:$J$20,6),(IF(J56="Quadruplex",VLOOKUP(M56,'Características dos Cabos MX'!$C$21:$K$27,6),(IF(J56="13",VLOOKUP(M56,'Características dos Cabos MX'!$C$15:$L$20,6),"")))))))</f>
        <v/>
      </c>
      <c r="T56" s="246" t="str">
        <f t="shared" si="18"/>
        <v/>
      </c>
      <c r="U56" s="247" t="str">
        <f>IF(J56="Duplex",VLOOKUP(M56,'Características dos Cabos MX'!$C$12:$I$14,2),(IF(J56="Triplex",VLOOKUP(M56,'Características dos Cabos MX'!$C$15:$J$20,2),(IF(J56="Quadruplex",VLOOKUP(M56,'Características dos Cabos MX'!$C$21:$K$27,2),(IF(J56="13",VLOOKUP(M56,'Características dos Cabos MX'!$C$15:$L$20,2),"")))))))</f>
        <v/>
      </c>
      <c r="V56" s="245" t="str">
        <f>IF(J56="Duplex",VLOOKUP(M56,'Características dos Cabos MX'!$C$12:$I$14,3),(IF(J56="Triplex",VLOOKUP(M56,'Características dos Cabos MX'!$C$15:$J$20,3),(IF(J56="Quadruplex",VLOOKUP(M56,'Características dos Cabos MX'!$C$21:$K$27,3),(IF(J56="13",VLOOKUP(M56,'Características dos Cabos MX'!$C$15:$L$20,3),"")))))))</f>
        <v/>
      </c>
      <c r="W56" s="248" t="str">
        <f t="shared" si="19"/>
        <v/>
      </c>
      <c r="X56" s="248" t="str">
        <f t="shared" si="20"/>
        <v/>
      </c>
      <c r="Y56" s="249" t="str">
        <f t="shared" si="21"/>
        <v/>
      </c>
      <c r="Z56" s="121" t="str">
        <f>IF(O56="","",O56+VLOOKUP(C56,$D$20:$P$55,13,FALSE))</f>
        <v/>
      </c>
      <c r="AA56" s="298">
        <f t="shared" si="17"/>
        <v>0</v>
      </c>
      <c r="AB56" s="298">
        <f t="shared" si="2"/>
        <v>0</v>
      </c>
      <c r="AC56" s="284"/>
      <c r="AE56" s="299" t="str">
        <f t="shared" si="13"/>
        <v/>
      </c>
      <c r="AF56" s="334">
        <f t="shared" si="14"/>
        <v>0</v>
      </c>
    </row>
    <row r="57" spans="1:32" ht="15" customHeight="1" x14ac:dyDescent="0.25">
      <c r="A57" s="575"/>
      <c r="B57" s="564"/>
      <c r="C57" s="463"/>
      <c r="D57" s="464"/>
      <c r="E57" s="438"/>
      <c r="F57" s="216" t="str">
        <f t="shared" si="15"/>
        <v/>
      </c>
      <c r="G57" s="451"/>
      <c r="H57" s="217" t="str">
        <f>IF(AND(E57="",G57=""),"",SUM(F57:G65))</f>
        <v/>
      </c>
      <c r="I57" s="218"/>
      <c r="J57" s="262"/>
      <c r="K57" s="262"/>
      <c r="L57" s="226" t="str">
        <f>IF(J57="Duplex",VLOOKUP(M57,'Características dos Cabos MX'!$C$12:$I$14,7),(IF(J57="Triplex",VLOOKUP(M57,'Características dos Cabos MX'!$C$15:$J$20,8),(IF(J57="Quadruplex",VLOOKUP(M57,'Características dos Cabos MX'!$C$21:$K$27,9),(IF(J57="13",VLOOKUP(M57,'Características dos Cabos MX'!$C$15:$L$20,10),"")))))))</f>
        <v/>
      </c>
      <c r="M57" s="410" t="str">
        <f t="shared" si="5"/>
        <v/>
      </c>
      <c r="N57" s="444"/>
      <c r="O57" s="219" t="str">
        <f t="shared" si="16"/>
        <v/>
      </c>
      <c r="P57" s="220" t="str">
        <f t="shared" si="22"/>
        <v/>
      </c>
      <c r="Q57" s="220" t="str">
        <f t="shared" si="7"/>
        <v/>
      </c>
      <c r="R57" s="221" t="str">
        <f>IF(J57="Duplex",VLOOKUP(M57,'Características dos Cabos MX'!$C$12:$I$14,5),(IF(J57="Triplex",VLOOKUP(M57,'Características dos Cabos MX'!$C$15:$J$20,5),(IF(J57="Quadruplex",VLOOKUP(M57,'Características dos Cabos MX'!$C$21:$K$27,5),(IF(J57="13",VLOOKUP(M57,'Características dos Cabos MX'!$C$15:$L$20,5),"")))))))</f>
        <v/>
      </c>
      <c r="S57" s="221" t="str">
        <f>IF(J57="Duplex",VLOOKUP(M57,'Características dos Cabos MX'!$C$12:$I$14,6),(IF(J57="Triplex",VLOOKUP(M57,'Características dos Cabos MX'!$C$15:$J$20,6),(IF(J57="Quadruplex",VLOOKUP(M57,'Características dos Cabos MX'!$C$21:$K$27,6),(IF(J57="13",VLOOKUP(M57,'Características dos Cabos MX'!$C$15:$L$20,6),"")))))))</f>
        <v/>
      </c>
      <c r="T57" s="222" t="str">
        <f t="shared" si="18"/>
        <v/>
      </c>
      <c r="U57" s="223" t="str">
        <f>IF(J57="Duplex",VLOOKUP(M57,'Características dos Cabos MX'!$C$12:$I$14,2),(IF(J57="Triplex",VLOOKUP(M57,'Características dos Cabos MX'!$C$15:$J$20,2),(IF(J57="Quadruplex",VLOOKUP(M57,'Características dos Cabos MX'!$C$21:$K$27,2),(IF(J57="13",VLOOKUP(M57,'Características dos Cabos MX'!$C$15:$L$20,2),"")))))))</f>
        <v/>
      </c>
      <c r="V57" s="221" t="str">
        <f>IF(J57="Duplex",VLOOKUP(M57,'Características dos Cabos MX'!$C$12:$I$14,3),(IF(J57="Triplex",VLOOKUP(M57,'Características dos Cabos MX'!$C$15:$J$20,3),(IF(J57="Quadruplex",VLOOKUP(M57,'Características dos Cabos MX'!$C$21:$K$27,3),(IF(J57="13",VLOOKUP(M57,'Características dos Cabos MX'!$C$15:$L$20,3),"")))))))</f>
        <v/>
      </c>
      <c r="W57" s="224" t="str">
        <f t="shared" si="19"/>
        <v/>
      </c>
      <c r="X57" s="224" t="str">
        <f t="shared" si="20"/>
        <v/>
      </c>
      <c r="Y57" s="225" t="str">
        <f t="shared" si="21"/>
        <v/>
      </c>
      <c r="AA57" s="298">
        <f t="shared" si="17"/>
        <v>0</v>
      </c>
      <c r="AB57" s="298">
        <f t="shared" si="2"/>
        <v>0</v>
      </c>
      <c r="AC57" s="284"/>
      <c r="AE57" s="299" t="str">
        <f t="shared" si="13"/>
        <v/>
      </c>
      <c r="AF57" s="334">
        <f t="shared" si="14"/>
        <v>0</v>
      </c>
    </row>
    <row r="58" spans="1:32" ht="15" customHeight="1" x14ac:dyDescent="0.25">
      <c r="A58" s="575"/>
      <c r="B58" s="564"/>
      <c r="C58" s="463"/>
      <c r="D58" s="464"/>
      <c r="E58" s="438"/>
      <c r="F58" s="216" t="str">
        <f t="shared" si="15"/>
        <v/>
      </c>
      <c r="G58" s="451"/>
      <c r="H58" s="217" t="str">
        <f>IF(AND(E58="",G58=""),"",SUM(F58:G65))</f>
        <v/>
      </c>
      <c r="I58" s="218"/>
      <c r="J58" s="262"/>
      <c r="K58" s="262"/>
      <c r="L58" s="226" t="str">
        <f>IF(J58="Duplex",VLOOKUP(M58,'Características dos Cabos MX'!$C$12:$I$14,7),(IF(J58="Triplex",VLOOKUP(M58,'Características dos Cabos MX'!$C$15:$J$20,8),(IF(J58="Quadruplex",VLOOKUP(M58,'Características dos Cabos MX'!$C$21:$K$27,9),(IF(J58="13",VLOOKUP(M58,'Características dos Cabos MX'!$C$15:$L$20,10),"")))))))</f>
        <v/>
      </c>
      <c r="M58" s="410" t="str">
        <f t="shared" si="5"/>
        <v/>
      </c>
      <c r="N58" s="444"/>
      <c r="O58" s="219" t="str">
        <f t="shared" si="16"/>
        <v/>
      </c>
      <c r="P58" s="220" t="str">
        <f t="shared" si="22"/>
        <v/>
      </c>
      <c r="Q58" s="220" t="str">
        <f t="shared" si="7"/>
        <v/>
      </c>
      <c r="R58" s="221" t="str">
        <f>IF(J58="Duplex",VLOOKUP(M58,'Características dos Cabos MX'!$C$12:$I$14,5),(IF(J58="Triplex",VLOOKUP(M58,'Características dos Cabos MX'!$C$15:$J$20,5),(IF(J58="Quadruplex",VLOOKUP(M58,'Características dos Cabos MX'!$C$21:$K$27,5),(IF(J58="13",VLOOKUP(M58,'Características dos Cabos MX'!$C$15:$L$20,5),"")))))))</f>
        <v/>
      </c>
      <c r="S58" s="221" t="str">
        <f>IF(J58="Duplex",VLOOKUP(M58,'Características dos Cabos MX'!$C$12:$I$14,6),(IF(J58="Triplex",VLOOKUP(M58,'Características dos Cabos MX'!$C$15:$J$20,6),(IF(J58="Quadruplex",VLOOKUP(M58,'Características dos Cabos MX'!$C$21:$K$27,6),(IF(J58="13",VLOOKUP(M58,'Características dos Cabos MX'!$C$15:$L$20,6),"")))))))</f>
        <v/>
      </c>
      <c r="T58" s="222" t="str">
        <f t="shared" si="18"/>
        <v/>
      </c>
      <c r="U58" s="223" t="str">
        <f>IF(J58="Duplex",VLOOKUP(M58,'Características dos Cabos MX'!$C$12:$I$14,2),(IF(J58="Triplex",VLOOKUP(M58,'Características dos Cabos MX'!$C$15:$J$20,2),(IF(J58="Quadruplex",VLOOKUP(M58,'Características dos Cabos MX'!$C$21:$K$27,2),(IF(J58="13",VLOOKUP(M58,'Características dos Cabos MX'!$C$15:$L$20,2),"")))))))</f>
        <v/>
      </c>
      <c r="V58" s="221" t="str">
        <f>IF(J58="Duplex",VLOOKUP(M58,'Características dos Cabos MX'!$C$12:$I$14,3),(IF(J58="Triplex",VLOOKUP(M58,'Características dos Cabos MX'!$C$15:$J$20,3),(IF(J58="Quadruplex",VLOOKUP(M58,'Características dos Cabos MX'!$C$21:$K$27,3),(IF(J58="13",VLOOKUP(M58,'Características dos Cabos MX'!$C$15:$L$20,3),"")))))))</f>
        <v/>
      </c>
      <c r="W58" s="224" t="str">
        <f t="shared" si="19"/>
        <v/>
      </c>
      <c r="X58" s="224" t="str">
        <f t="shared" si="20"/>
        <v/>
      </c>
      <c r="Y58" s="225" t="str">
        <f t="shared" si="21"/>
        <v/>
      </c>
      <c r="AA58" s="298">
        <f t="shared" si="17"/>
        <v>0</v>
      </c>
      <c r="AB58" s="298">
        <f t="shared" si="2"/>
        <v>0</v>
      </c>
      <c r="AC58" s="284"/>
      <c r="AE58" s="299" t="str">
        <f t="shared" si="13"/>
        <v/>
      </c>
      <c r="AF58" s="334">
        <f t="shared" si="14"/>
        <v>0</v>
      </c>
    </row>
    <row r="59" spans="1:32" ht="15" customHeight="1" x14ac:dyDescent="0.25">
      <c r="A59" s="575"/>
      <c r="B59" s="564"/>
      <c r="C59" s="463"/>
      <c r="D59" s="464"/>
      <c r="E59" s="438"/>
      <c r="F59" s="216" t="str">
        <f t="shared" si="15"/>
        <v/>
      </c>
      <c r="G59" s="451"/>
      <c r="H59" s="217" t="str">
        <f>IF(AND(E59="",G59=""),"",SUM(F59:G65))</f>
        <v/>
      </c>
      <c r="I59" s="218"/>
      <c r="J59" s="262"/>
      <c r="K59" s="262"/>
      <c r="L59" s="226" t="str">
        <f>IF(J59="Duplex",VLOOKUP(M59,'Características dos Cabos MX'!$C$12:$I$14,7),(IF(J59="Triplex",VLOOKUP(M59,'Características dos Cabos MX'!$C$15:$J$20,8),(IF(J59="Quadruplex",VLOOKUP(M59,'Características dos Cabos MX'!$C$21:$K$27,9),(IF(J59="13",VLOOKUP(M59,'Características dos Cabos MX'!$C$15:$L$20,10),"")))))))</f>
        <v/>
      </c>
      <c r="M59" s="410" t="str">
        <f t="shared" si="5"/>
        <v/>
      </c>
      <c r="N59" s="444"/>
      <c r="O59" s="219" t="str">
        <f t="shared" si="16"/>
        <v/>
      </c>
      <c r="P59" s="220" t="str">
        <f t="shared" si="22"/>
        <v/>
      </c>
      <c r="Q59" s="220" t="str">
        <f t="shared" si="7"/>
        <v/>
      </c>
      <c r="R59" s="221" t="str">
        <f>IF(J59="Duplex",VLOOKUP(M59,'Características dos Cabos MX'!$C$12:$I$14,5),(IF(J59="Triplex",VLOOKUP(M59,'Características dos Cabos MX'!$C$15:$J$20,5),(IF(J59="Quadruplex",VLOOKUP(M59,'Características dos Cabos MX'!$C$21:$K$27,5),(IF(J59="13",VLOOKUP(M59,'Características dos Cabos MX'!$C$15:$L$20,5),"")))))))</f>
        <v/>
      </c>
      <c r="S59" s="221" t="str">
        <f>IF(J59="Duplex",VLOOKUP(M59,'Características dos Cabos MX'!$C$12:$I$14,6),(IF(J59="Triplex",VLOOKUP(M59,'Características dos Cabos MX'!$C$15:$J$20,6),(IF(J59="Quadruplex",VLOOKUP(M59,'Características dos Cabos MX'!$C$21:$K$27,6),(IF(J59="13",VLOOKUP(M59,'Características dos Cabos MX'!$C$15:$L$20,6),"")))))))</f>
        <v/>
      </c>
      <c r="T59" s="222" t="str">
        <f t="shared" si="18"/>
        <v/>
      </c>
      <c r="U59" s="223" t="str">
        <f>IF(J59="Duplex",VLOOKUP(M59,'Características dos Cabos MX'!$C$12:$I$14,2),(IF(J59="Triplex",VLOOKUP(M59,'Características dos Cabos MX'!$C$15:$J$20,2),(IF(J59="Quadruplex",VLOOKUP(M59,'Características dos Cabos MX'!$C$21:$K$27,2),(IF(J59="13",VLOOKUP(M59,'Características dos Cabos MX'!$C$15:$L$20,2),"")))))))</f>
        <v/>
      </c>
      <c r="V59" s="221" t="str">
        <f>IF(J59="Duplex",VLOOKUP(M59,'Características dos Cabos MX'!$C$12:$I$14,3),(IF(J59="Triplex",VLOOKUP(M59,'Características dos Cabos MX'!$C$15:$J$20,3),(IF(J59="Quadruplex",VLOOKUP(M59,'Características dos Cabos MX'!$C$21:$K$27,3),(IF(J59="13",VLOOKUP(M59,'Características dos Cabos MX'!$C$15:$L$20,3),"")))))))</f>
        <v/>
      </c>
      <c r="W59" s="224" t="str">
        <f t="shared" si="19"/>
        <v/>
      </c>
      <c r="X59" s="224" t="str">
        <f t="shared" si="20"/>
        <v/>
      </c>
      <c r="Y59" s="225" t="str">
        <f t="shared" si="21"/>
        <v/>
      </c>
      <c r="AA59" s="298">
        <f t="shared" si="17"/>
        <v>0</v>
      </c>
      <c r="AB59" s="298">
        <f t="shared" si="2"/>
        <v>0</v>
      </c>
      <c r="AC59" s="284"/>
      <c r="AE59" s="299" t="str">
        <f t="shared" si="13"/>
        <v/>
      </c>
      <c r="AF59" s="334">
        <f t="shared" si="14"/>
        <v>0</v>
      </c>
    </row>
    <row r="60" spans="1:32" ht="15" customHeight="1" x14ac:dyDescent="0.25">
      <c r="A60" s="575"/>
      <c r="B60" s="564"/>
      <c r="C60" s="463"/>
      <c r="D60" s="464"/>
      <c r="E60" s="438"/>
      <c r="F60" s="216" t="str">
        <f t="shared" si="15"/>
        <v/>
      </c>
      <c r="G60" s="451"/>
      <c r="H60" s="217" t="str">
        <f>IF(AND(E60="",G60=""),"",SUM(F60:G65))</f>
        <v/>
      </c>
      <c r="I60" s="218"/>
      <c r="J60" s="262"/>
      <c r="K60" s="262"/>
      <c r="L60" s="226" t="str">
        <f>IF(J60="Duplex",VLOOKUP(M60,'Características dos Cabos MX'!$C$12:$I$14,7),(IF(J60="Triplex",VLOOKUP(M60,'Características dos Cabos MX'!$C$15:$J$20,8),(IF(J60="Quadruplex",VLOOKUP(M60,'Características dos Cabos MX'!$C$21:$K$27,9),(IF(J60="13",VLOOKUP(M60,'Características dos Cabos MX'!$C$15:$L$20,10),"")))))))</f>
        <v/>
      </c>
      <c r="M60" s="410" t="str">
        <f t="shared" si="5"/>
        <v/>
      </c>
      <c r="N60" s="444"/>
      <c r="O60" s="219" t="str">
        <f t="shared" si="16"/>
        <v/>
      </c>
      <c r="P60" s="220" t="str">
        <f t="shared" si="22"/>
        <v/>
      </c>
      <c r="Q60" s="220" t="str">
        <f t="shared" si="7"/>
        <v/>
      </c>
      <c r="R60" s="221" t="str">
        <f>IF(J60="Duplex",VLOOKUP(M60,'Características dos Cabos MX'!$C$12:$I$14,5),(IF(J60="Triplex",VLOOKUP(M60,'Características dos Cabos MX'!$C$15:$J$20,5),(IF(J60="Quadruplex",VLOOKUP(M60,'Características dos Cabos MX'!$C$21:$K$27,5),(IF(J60="13",VLOOKUP(M60,'Características dos Cabos MX'!$C$15:$L$20,5),"")))))))</f>
        <v/>
      </c>
      <c r="S60" s="221" t="str">
        <f>IF(J60="Duplex",VLOOKUP(M60,'Características dos Cabos MX'!$C$12:$I$14,6),(IF(J60="Triplex",VLOOKUP(M60,'Características dos Cabos MX'!$C$15:$J$20,6),(IF(J60="Quadruplex",VLOOKUP(M60,'Características dos Cabos MX'!$C$21:$K$27,6),(IF(J60="13",VLOOKUP(M60,'Características dos Cabos MX'!$C$15:$L$20,6),"")))))))</f>
        <v/>
      </c>
      <c r="T60" s="222" t="str">
        <f t="shared" si="18"/>
        <v/>
      </c>
      <c r="U60" s="223" t="str">
        <f>IF(J60="Duplex",VLOOKUP(M60,'Características dos Cabos MX'!$C$12:$I$14,2),(IF(J60="Triplex",VLOOKUP(M60,'Características dos Cabos MX'!$C$15:$J$20,2),(IF(J60="Quadruplex",VLOOKUP(M60,'Características dos Cabos MX'!$C$21:$K$27,2),(IF(J60="13",VLOOKUP(M60,'Características dos Cabos MX'!$C$15:$L$20,2),"")))))))</f>
        <v/>
      </c>
      <c r="V60" s="221" t="str">
        <f>IF(J60="Duplex",VLOOKUP(M60,'Características dos Cabos MX'!$C$12:$I$14,3),(IF(J60="Triplex",VLOOKUP(M60,'Características dos Cabos MX'!$C$15:$J$20,3),(IF(J60="Quadruplex",VLOOKUP(M60,'Características dos Cabos MX'!$C$21:$K$27,3),(IF(J60="13",VLOOKUP(M60,'Características dos Cabos MX'!$C$15:$L$20,3),"")))))))</f>
        <v/>
      </c>
      <c r="W60" s="224" t="str">
        <f t="shared" si="19"/>
        <v/>
      </c>
      <c r="X60" s="224" t="str">
        <f t="shared" si="20"/>
        <v/>
      </c>
      <c r="Y60" s="225" t="str">
        <f t="shared" si="21"/>
        <v/>
      </c>
      <c r="AA60" s="298">
        <f t="shared" si="17"/>
        <v>0</v>
      </c>
      <c r="AB60" s="298">
        <f t="shared" si="2"/>
        <v>0</v>
      </c>
      <c r="AC60" s="284"/>
      <c r="AE60" s="299" t="str">
        <f t="shared" si="13"/>
        <v/>
      </c>
      <c r="AF60" s="334">
        <f t="shared" si="14"/>
        <v>0</v>
      </c>
    </row>
    <row r="61" spans="1:32" ht="15" customHeight="1" x14ac:dyDescent="0.25">
      <c r="A61" s="575"/>
      <c r="B61" s="564"/>
      <c r="C61" s="463"/>
      <c r="D61" s="464"/>
      <c r="E61" s="438"/>
      <c r="F61" s="216" t="str">
        <f t="shared" si="15"/>
        <v/>
      </c>
      <c r="G61" s="451"/>
      <c r="H61" s="217" t="str">
        <f>IF(AND(E61="",G61=""),"",SUM(F61:G65))</f>
        <v/>
      </c>
      <c r="I61" s="218"/>
      <c r="J61" s="262"/>
      <c r="K61" s="262"/>
      <c r="L61" s="226" t="str">
        <f>IF(J61="Duplex",VLOOKUP(M61,'Características dos Cabos MX'!$C$12:$I$14,7),(IF(J61="Triplex",VLOOKUP(M61,'Características dos Cabos MX'!$C$15:$J$20,8),(IF(J61="Quadruplex",VLOOKUP(M61,'Características dos Cabos MX'!$C$21:$K$27,9),(IF(J61="13",VLOOKUP(M61,'Características dos Cabos MX'!$C$15:$L$20,10),"")))))))</f>
        <v/>
      </c>
      <c r="M61" s="410" t="str">
        <f t="shared" si="5"/>
        <v/>
      </c>
      <c r="N61" s="444"/>
      <c r="O61" s="219" t="str">
        <f t="shared" si="16"/>
        <v/>
      </c>
      <c r="P61" s="220" t="str">
        <f t="shared" si="22"/>
        <v/>
      </c>
      <c r="Q61" s="220" t="str">
        <f t="shared" si="7"/>
        <v/>
      </c>
      <c r="R61" s="221" t="str">
        <f>IF(J61="Duplex",VLOOKUP(M61,'Características dos Cabos MX'!$C$12:$I$14,5),(IF(J61="Triplex",VLOOKUP(M61,'Características dos Cabos MX'!$C$15:$J$20,5),(IF(J61="Quadruplex",VLOOKUP(M61,'Características dos Cabos MX'!$C$21:$K$27,5),(IF(J61="13",VLOOKUP(M61,'Características dos Cabos MX'!$C$15:$L$20,5),"")))))))</f>
        <v/>
      </c>
      <c r="S61" s="221" t="str">
        <f>IF(J61="Duplex",VLOOKUP(M61,'Características dos Cabos MX'!$C$12:$I$14,6),(IF(J61="Triplex",VLOOKUP(M61,'Características dos Cabos MX'!$C$15:$J$20,6),(IF(J61="Quadruplex",VLOOKUP(M61,'Características dos Cabos MX'!$C$21:$K$27,6),(IF(J61="13",VLOOKUP(M61,'Características dos Cabos MX'!$C$15:$L$20,6),"")))))))</f>
        <v/>
      </c>
      <c r="T61" s="222" t="str">
        <f t="shared" si="18"/>
        <v/>
      </c>
      <c r="U61" s="223" t="str">
        <f>IF(J61="Duplex",VLOOKUP(M61,'Características dos Cabos MX'!$C$12:$I$14,2),(IF(J61="Triplex",VLOOKUP(M61,'Características dos Cabos MX'!$C$15:$J$20,2),(IF(J61="Quadruplex",VLOOKUP(M61,'Características dos Cabos MX'!$C$21:$K$27,2),(IF(J61="13",VLOOKUP(M61,'Características dos Cabos MX'!$C$15:$L$20,2),"")))))))</f>
        <v/>
      </c>
      <c r="V61" s="221" t="str">
        <f>IF(J61="Duplex",VLOOKUP(M61,'Características dos Cabos MX'!$C$12:$I$14,3),(IF(J61="Triplex",VLOOKUP(M61,'Características dos Cabos MX'!$C$15:$J$20,3),(IF(J61="Quadruplex",VLOOKUP(M61,'Características dos Cabos MX'!$C$21:$K$27,3),(IF(J61="13",VLOOKUP(M61,'Características dos Cabos MX'!$C$15:$L$20,3),"")))))))</f>
        <v/>
      </c>
      <c r="W61" s="224" t="str">
        <f t="shared" si="19"/>
        <v/>
      </c>
      <c r="X61" s="224" t="str">
        <f t="shared" si="20"/>
        <v/>
      </c>
      <c r="Y61" s="225" t="str">
        <f t="shared" si="21"/>
        <v/>
      </c>
      <c r="AA61" s="298">
        <f t="shared" si="17"/>
        <v>0</v>
      </c>
      <c r="AB61" s="298">
        <f t="shared" si="2"/>
        <v>0</v>
      </c>
      <c r="AC61" s="284"/>
      <c r="AE61" s="299" t="str">
        <f t="shared" si="13"/>
        <v/>
      </c>
      <c r="AF61" s="334">
        <f t="shared" si="14"/>
        <v>0</v>
      </c>
    </row>
    <row r="62" spans="1:32" ht="15" customHeight="1" x14ac:dyDescent="0.25">
      <c r="A62" s="575"/>
      <c r="B62" s="564"/>
      <c r="C62" s="432"/>
      <c r="D62" s="433"/>
      <c r="E62" s="438"/>
      <c r="F62" s="216" t="str">
        <f t="shared" si="15"/>
        <v/>
      </c>
      <c r="G62" s="451"/>
      <c r="H62" s="217" t="str">
        <f>IF(AND(E62="",G62=""),"",SUM(F62:G65))</f>
        <v/>
      </c>
      <c r="I62" s="218"/>
      <c r="J62" s="259"/>
      <c r="K62" s="259"/>
      <c r="L62" s="226" t="str">
        <f>IF(J62="Duplex",VLOOKUP(M62,'Características dos Cabos MX'!$C$12:$I$14,7),(IF(J62="Triplex",VLOOKUP(M62,'Características dos Cabos MX'!$C$15:$J$20,8),(IF(J62="Quadruplex",VLOOKUP(M62,'Características dos Cabos MX'!$C$21:$K$27,9),(IF(J62="13",VLOOKUP(M62,'Características dos Cabos MX'!$C$15:$L$20,10),"")))))))</f>
        <v/>
      </c>
      <c r="M62" s="410" t="str">
        <f t="shared" si="5"/>
        <v/>
      </c>
      <c r="N62" s="444"/>
      <c r="O62" s="219" t="str">
        <f t="shared" si="16"/>
        <v/>
      </c>
      <c r="P62" s="220" t="str">
        <f t="shared" si="22"/>
        <v/>
      </c>
      <c r="Q62" s="220" t="str">
        <f t="shared" si="7"/>
        <v/>
      </c>
      <c r="R62" s="221" t="str">
        <f>IF(J62="Duplex",VLOOKUP(M62,'Características dos Cabos MX'!$C$12:$I$14,5),(IF(J62="Triplex",VLOOKUP(M62,'Características dos Cabos MX'!$C$15:$J$20,5),(IF(J62="Quadruplex",VLOOKUP(M62,'Características dos Cabos MX'!$C$21:$K$27,5),(IF(J62="13",VLOOKUP(M62,'Características dos Cabos MX'!$C$15:$L$20,5),"")))))))</f>
        <v/>
      </c>
      <c r="S62" s="221" t="str">
        <f>IF(J62="Duplex",VLOOKUP(M62,'Características dos Cabos MX'!$C$12:$I$14,6),(IF(J62="Triplex",VLOOKUP(M62,'Características dos Cabos MX'!$C$15:$J$20,6),(IF(J62="Quadruplex",VLOOKUP(M62,'Características dos Cabos MX'!$C$21:$K$27,6),(IF(J62="13",VLOOKUP(M62,'Características dos Cabos MX'!$C$15:$L$20,6),"")))))))</f>
        <v/>
      </c>
      <c r="T62" s="222" t="str">
        <f t="shared" si="18"/>
        <v/>
      </c>
      <c r="U62" s="223" t="str">
        <f>IF(J62="Duplex",VLOOKUP(M62,'Características dos Cabos MX'!$C$12:$I$14,2),(IF(J62="Triplex",VLOOKUP(M62,'Características dos Cabos MX'!$C$15:$J$20,2),(IF(J62="Quadruplex",VLOOKUP(M62,'Características dos Cabos MX'!$C$21:$K$27,2),(IF(J62="13",VLOOKUP(M62,'Características dos Cabos MX'!$C$15:$L$20,2),"")))))))</f>
        <v/>
      </c>
      <c r="V62" s="221" t="str">
        <f>IF(J62="Duplex",VLOOKUP(M62,'Características dos Cabos MX'!$C$12:$I$14,3),(IF(J62="Triplex",VLOOKUP(M62,'Características dos Cabos MX'!$C$15:$J$20,3),(IF(J62="Quadruplex",VLOOKUP(M62,'Características dos Cabos MX'!$C$21:$K$27,3),(IF(J62="13",VLOOKUP(M62,'Características dos Cabos MX'!$C$15:$L$20,3),"")))))))</f>
        <v/>
      </c>
      <c r="W62" s="224" t="str">
        <f t="shared" si="19"/>
        <v/>
      </c>
      <c r="X62" s="224" t="str">
        <f t="shared" si="20"/>
        <v/>
      </c>
      <c r="Y62" s="225" t="str">
        <f t="shared" si="21"/>
        <v/>
      </c>
      <c r="AA62" s="298">
        <f t="shared" si="17"/>
        <v>0</v>
      </c>
      <c r="AB62" s="298">
        <f t="shared" si="2"/>
        <v>0</v>
      </c>
      <c r="AC62" s="284"/>
      <c r="AE62" s="299" t="str">
        <f t="shared" si="13"/>
        <v/>
      </c>
      <c r="AF62" s="334">
        <f t="shared" si="14"/>
        <v>0</v>
      </c>
    </row>
    <row r="63" spans="1:32" ht="15" customHeight="1" x14ac:dyDescent="0.25">
      <c r="A63" s="575"/>
      <c r="B63" s="564"/>
      <c r="C63" s="432"/>
      <c r="D63" s="433"/>
      <c r="E63" s="438"/>
      <c r="F63" s="216" t="str">
        <f t="shared" si="15"/>
        <v/>
      </c>
      <c r="G63" s="451"/>
      <c r="H63" s="217" t="str">
        <f>IF(AND(E63="",G63=""),"",SUM(F63:G65))</f>
        <v/>
      </c>
      <c r="I63" s="218"/>
      <c r="J63" s="259"/>
      <c r="K63" s="259"/>
      <c r="L63" s="226" t="str">
        <f>IF(J63="Duplex",VLOOKUP(M63,'Características dos Cabos MX'!$C$12:$I$14,7),(IF(J63="Triplex",VLOOKUP(M63,'Características dos Cabos MX'!$C$15:$J$20,8),(IF(J63="Quadruplex",VLOOKUP(M63,'Características dos Cabos MX'!$C$21:$K$27,9),(IF(J63="13",VLOOKUP(M63,'Características dos Cabos MX'!$C$15:$L$20,10),"")))))))</f>
        <v/>
      </c>
      <c r="M63" s="410" t="str">
        <f t="shared" si="5"/>
        <v/>
      </c>
      <c r="N63" s="444"/>
      <c r="O63" s="219" t="str">
        <f t="shared" si="16"/>
        <v/>
      </c>
      <c r="P63" s="220" t="str">
        <f t="shared" si="22"/>
        <v/>
      </c>
      <c r="Q63" s="220" t="str">
        <f t="shared" si="7"/>
        <v/>
      </c>
      <c r="R63" s="221" t="str">
        <f>IF(J63="Duplex",VLOOKUP(M63,'Características dos Cabos MX'!$C$12:$I$14,5),(IF(J63="Triplex",VLOOKUP(M63,'Características dos Cabos MX'!$C$15:$J$20,5),(IF(J63="Quadruplex",VLOOKUP(M63,'Características dos Cabos MX'!$C$21:$K$27,5),(IF(J63="13",VLOOKUP(M63,'Características dos Cabos MX'!$C$15:$L$20,5),"")))))))</f>
        <v/>
      </c>
      <c r="S63" s="221" t="str">
        <f>IF(J63="Duplex",VLOOKUP(M63,'Características dos Cabos MX'!$C$12:$I$14,6),(IF(J63="Triplex",VLOOKUP(M63,'Características dos Cabos MX'!$C$15:$J$20,6),(IF(J63="Quadruplex",VLOOKUP(M63,'Características dos Cabos MX'!$C$21:$K$27,6),(IF(J63="13",VLOOKUP(M63,'Características dos Cabos MX'!$C$15:$L$20,6),"")))))))</f>
        <v/>
      </c>
      <c r="T63" s="222" t="str">
        <f t="shared" si="18"/>
        <v/>
      </c>
      <c r="U63" s="223" t="str">
        <f>IF(J63="Duplex",VLOOKUP(M63,'Características dos Cabos MX'!$C$12:$I$14,2),(IF(J63="Triplex",VLOOKUP(M63,'Características dos Cabos MX'!$C$15:$J$20,2),(IF(J63="Quadruplex",VLOOKUP(M63,'Características dos Cabos MX'!$C$21:$K$27,2),(IF(J63="13",VLOOKUP(M63,'Características dos Cabos MX'!$C$15:$L$20,2),"")))))))</f>
        <v/>
      </c>
      <c r="V63" s="221" t="str">
        <f>IF(J63="Duplex",VLOOKUP(M63,'Características dos Cabos MX'!$C$12:$I$14,3),(IF(J63="Triplex",VLOOKUP(M63,'Características dos Cabos MX'!$C$15:$J$20,3),(IF(J63="Quadruplex",VLOOKUP(M63,'Características dos Cabos MX'!$C$21:$K$27,3),(IF(J63="13",VLOOKUP(M63,'Características dos Cabos MX'!$C$15:$L$20,3),"")))))))</f>
        <v/>
      </c>
      <c r="W63" s="224" t="str">
        <f t="shared" si="19"/>
        <v/>
      </c>
      <c r="X63" s="224" t="str">
        <f t="shared" si="20"/>
        <v/>
      </c>
      <c r="Y63" s="225" t="str">
        <f t="shared" si="21"/>
        <v/>
      </c>
      <c r="AA63" s="298">
        <f t="shared" si="17"/>
        <v>0</v>
      </c>
      <c r="AB63" s="298">
        <f t="shared" si="2"/>
        <v>0</v>
      </c>
      <c r="AC63" s="284"/>
      <c r="AE63" s="299" t="str">
        <f t="shared" si="13"/>
        <v/>
      </c>
      <c r="AF63" s="334">
        <f t="shared" si="14"/>
        <v>0</v>
      </c>
    </row>
    <row r="64" spans="1:32" ht="15" customHeight="1" x14ac:dyDescent="0.25">
      <c r="A64" s="575"/>
      <c r="B64" s="564"/>
      <c r="C64" s="432"/>
      <c r="D64" s="433"/>
      <c r="E64" s="438"/>
      <c r="F64" s="216" t="str">
        <f t="shared" si="15"/>
        <v/>
      </c>
      <c r="G64" s="451"/>
      <c r="H64" s="217" t="str">
        <f>IF(AND(E64="",G64=""),"",SUM(F64:G65))</f>
        <v/>
      </c>
      <c r="I64" s="218"/>
      <c r="J64" s="259"/>
      <c r="K64" s="259"/>
      <c r="L64" s="226" t="str">
        <f>IF(J64="Duplex",VLOOKUP(M64,'Características dos Cabos MX'!$C$12:$I$14,7),(IF(J64="Triplex",VLOOKUP(M64,'Características dos Cabos MX'!$C$15:$J$20,8),(IF(J64="Quadruplex",VLOOKUP(M64,'Características dos Cabos MX'!$C$21:$K$27,9),(IF(J64="13",VLOOKUP(M64,'Características dos Cabos MX'!$C$15:$L$20,10),"")))))))</f>
        <v/>
      </c>
      <c r="M64" s="410" t="str">
        <f t="shared" si="5"/>
        <v/>
      </c>
      <c r="N64" s="444"/>
      <c r="O64" s="219" t="str">
        <f t="shared" si="16"/>
        <v/>
      </c>
      <c r="P64" s="220" t="str">
        <f t="shared" si="22"/>
        <v/>
      </c>
      <c r="Q64" s="220" t="str">
        <f t="shared" si="7"/>
        <v/>
      </c>
      <c r="R64" s="221" t="str">
        <f>IF(J64="Duplex",VLOOKUP(M64,'Características dos Cabos MX'!$C$12:$I$14,5),(IF(J64="Triplex",VLOOKUP(M64,'Características dos Cabos MX'!$C$15:$J$20,5),(IF(J64="Quadruplex",VLOOKUP(M64,'Características dos Cabos MX'!$C$21:$K$27,5),(IF(J64="13",VLOOKUP(M64,'Características dos Cabos MX'!$C$15:$L$20,5),"")))))))</f>
        <v/>
      </c>
      <c r="S64" s="221" t="str">
        <f>IF(J64="Duplex",VLOOKUP(M64,'Características dos Cabos MX'!$C$12:$I$14,6),(IF(J64="Triplex",VLOOKUP(M64,'Características dos Cabos MX'!$C$15:$J$20,6),(IF(J64="Quadruplex",VLOOKUP(M64,'Características dos Cabos MX'!$C$21:$K$27,6),(IF(J64="13",VLOOKUP(M64,'Características dos Cabos MX'!$C$15:$L$20,6),"")))))))</f>
        <v/>
      </c>
      <c r="T64" s="222" t="str">
        <f t="shared" si="18"/>
        <v/>
      </c>
      <c r="U64" s="223" t="str">
        <f>IF(J64="Duplex",VLOOKUP(M64,'Características dos Cabos MX'!$C$12:$I$14,2),(IF(J64="Triplex",VLOOKUP(M64,'Características dos Cabos MX'!$C$15:$J$20,2),(IF(J64="Quadruplex",VLOOKUP(M64,'Características dos Cabos MX'!$C$21:$K$27,2),(IF(J64="13",VLOOKUP(M64,'Características dos Cabos MX'!$C$15:$L$20,2),"")))))))</f>
        <v/>
      </c>
      <c r="V64" s="221" t="str">
        <f>IF(J64="Duplex",VLOOKUP(M64,'Características dos Cabos MX'!$C$12:$I$14,3),(IF(J64="Triplex",VLOOKUP(M64,'Características dos Cabos MX'!$C$15:$J$20,3),(IF(J64="Quadruplex",VLOOKUP(M64,'Características dos Cabos MX'!$C$21:$K$27,3),(IF(J64="13",VLOOKUP(M64,'Características dos Cabos MX'!$C$15:$L$20,3),"")))))))</f>
        <v/>
      </c>
      <c r="W64" s="224" t="str">
        <f t="shared" si="19"/>
        <v/>
      </c>
      <c r="X64" s="224" t="str">
        <f t="shared" si="20"/>
        <v/>
      </c>
      <c r="Y64" s="225" t="str">
        <f t="shared" si="21"/>
        <v/>
      </c>
      <c r="AA64" s="298">
        <f t="shared" si="17"/>
        <v>0</v>
      </c>
      <c r="AB64" s="298">
        <f t="shared" si="2"/>
        <v>0</v>
      </c>
      <c r="AC64" s="284"/>
      <c r="AE64" s="299" t="str">
        <f t="shared" si="13"/>
        <v/>
      </c>
      <c r="AF64" s="334">
        <f t="shared" si="14"/>
        <v>0</v>
      </c>
    </row>
    <row r="65" spans="1:32" ht="15" customHeight="1" thickBot="1" x14ac:dyDescent="0.3">
      <c r="A65" s="575"/>
      <c r="B65" s="565"/>
      <c r="C65" s="434"/>
      <c r="D65" s="435"/>
      <c r="E65" s="434"/>
      <c r="F65" s="228" t="str">
        <f t="shared" si="15"/>
        <v/>
      </c>
      <c r="G65" s="452"/>
      <c r="H65" s="229" t="str">
        <f>IF(AND(E65="",G65=""),"",SUM(F65:G65))</f>
        <v/>
      </c>
      <c r="I65" s="230"/>
      <c r="J65" s="260"/>
      <c r="K65" s="260"/>
      <c r="L65" s="231" t="str">
        <f>IF(J65="Duplex",VLOOKUP(M65,'Características dos Cabos MX'!$C$12:$I$14,7),(IF(J65="Triplex",VLOOKUP(M65,'Características dos Cabos MX'!$C$15:$J$20,8),(IF(J65="Quadruplex",VLOOKUP(M65,'Características dos Cabos MX'!$C$21:$K$27,9),(IF(J65="13",VLOOKUP(M65,'Características dos Cabos MX'!$C$15:$L$20,10),"")))))))</f>
        <v/>
      </c>
      <c r="M65" s="412" t="str">
        <f t="shared" si="5"/>
        <v/>
      </c>
      <c r="N65" s="445"/>
      <c r="O65" s="232" t="str">
        <f t="shared" si="16"/>
        <v/>
      </c>
      <c r="P65" s="233" t="str">
        <f t="shared" si="22"/>
        <v/>
      </c>
      <c r="Q65" s="233" t="str">
        <f t="shared" si="7"/>
        <v/>
      </c>
      <c r="R65" s="234" t="str">
        <f>IF(J65="Duplex",VLOOKUP(M65,'Características dos Cabos MX'!$C$12:$I$14,5),(IF(J65="Triplex",VLOOKUP(M65,'Características dos Cabos MX'!$C$15:$J$20,5),(IF(J65="Quadruplex",VLOOKUP(M65,'Características dos Cabos MX'!$C$21:$K$27,5),(IF(J65="13",VLOOKUP(M65,'Características dos Cabos MX'!$C$15:$L$20,5),"")))))))</f>
        <v/>
      </c>
      <c r="S65" s="234" t="str">
        <f>IF(J65="Duplex",VLOOKUP(M65,'Características dos Cabos MX'!$C$12:$I$14,6),(IF(J65="Triplex",VLOOKUP(M65,'Características dos Cabos MX'!$C$15:$J$20,6),(IF(J65="Quadruplex",VLOOKUP(M65,'Características dos Cabos MX'!$C$21:$K$27,6),(IF(J65="13",VLOOKUP(M65,'Características dos Cabos MX'!$C$15:$L$20,6),"")))))))</f>
        <v/>
      </c>
      <c r="T65" s="235" t="str">
        <f t="shared" si="18"/>
        <v/>
      </c>
      <c r="U65" s="236" t="str">
        <f>IF(J65="Duplex",VLOOKUP(M65,'Características dos Cabos MX'!$C$12:$I$14,2),(IF(J65="Triplex",VLOOKUP(M65,'Características dos Cabos MX'!$C$15:$J$20,2),(IF(J65="Quadruplex",VLOOKUP(M65,'Características dos Cabos MX'!$C$21:$K$27,2),(IF(J65="13",VLOOKUP(M65,'Características dos Cabos MX'!$C$15:$L$20,2),"")))))))</f>
        <v/>
      </c>
      <c r="V65" s="234" t="str">
        <f>IF(J65="Duplex",VLOOKUP(M65,'Características dos Cabos MX'!$C$12:$I$14,3),(IF(J65="Triplex",VLOOKUP(M65,'Características dos Cabos MX'!$C$15:$J$20,3),(IF(J65="Quadruplex",VLOOKUP(M65,'Características dos Cabos MX'!$C$21:$K$27,3),(IF(J65="13",VLOOKUP(M65,'Características dos Cabos MX'!$C$15:$L$20,3),"")))))))</f>
        <v/>
      </c>
      <c r="W65" s="237" t="str">
        <f t="shared" si="19"/>
        <v/>
      </c>
      <c r="X65" s="237" t="str">
        <f t="shared" si="20"/>
        <v/>
      </c>
      <c r="Y65" s="238" t="str">
        <f t="shared" si="21"/>
        <v/>
      </c>
      <c r="AA65" s="298">
        <f t="shared" si="17"/>
        <v>0</v>
      </c>
      <c r="AB65" s="298">
        <f t="shared" si="2"/>
        <v>0</v>
      </c>
      <c r="AC65" s="284"/>
      <c r="AE65" s="299" t="str">
        <f t="shared" si="13"/>
        <v/>
      </c>
      <c r="AF65" s="334">
        <f t="shared" si="14"/>
        <v>0</v>
      </c>
    </row>
    <row r="66" spans="1:32" ht="15" customHeight="1" thickTop="1" x14ac:dyDescent="0.25">
      <c r="A66" s="575"/>
      <c r="B66" s="563" t="str">
        <f>CONCATENATE("Ramal 3 - Derivando no ponto ",C66)</f>
        <v xml:space="preserve">Ramal 3 - Derivando no ponto </v>
      </c>
      <c r="C66" s="431"/>
      <c r="D66" s="436"/>
      <c r="E66" s="440"/>
      <c r="F66" s="239" t="str">
        <f t="shared" si="15"/>
        <v/>
      </c>
      <c r="G66" s="453"/>
      <c r="H66" s="240" t="str">
        <f>IF(AND(E66="",G66=""),"",SUM(F66:G75))</f>
        <v/>
      </c>
      <c r="I66" s="241"/>
      <c r="J66" s="262"/>
      <c r="K66" s="262"/>
      <c r="L66" s="242" t="str">
        <f>IF(J66="Duplex",VLOOKUP(M66,'Características dos Cabos MX'!$C$12:$I$14,7),(IF(J66="Triplex",VLOOKUP(M66,'Características dos Cabos MX'!$C$15:$J$20,8),(IF(J66="Quadruplex",VLOOKUP(M66,'Características dos Cabos MX'!$C$21:$K$27,9),(IF(J66="13",VLOOKUP(M66,'Características dos Cabos MX'!$C$15:$L$20,10),"")))))))</f>
        <v/>
      </c>
      <c r="M66" s="413" t="str">
        <f t="shared" si="5"/>
        <v/>
      </c>
      <c r="N66" s="446"/>
      <c r="O66" s="243" t="str">
        <f t="shared" si="16"/>
        <v/>
      </c>
      <c r="P66" s="244" t="str">
        <f>IF(O66="","",O66+VLOOKUP(C66,$D$20:$Q$65,13,FALSE))</f>
        <v/>
      </c>
      <c r="Q66" s="244" t="str">
        <f t="shared" si="7"/>
        <v/>
      </c>
      <c r="R66" s="245" t="str">
        <f>IF(J66="Duplex",VLOOKUP(M66,'Características dos Cabos MX'!$C$12:$I$14,5),(IF(J66="Triplex",VLOOKUP(M66,'Características dos Cabos MX'!$C$15:$J$20,5),(IF(J66="Quadruplex",VLOOKUP(M66,'Características dos Cabos MX'!$C$21:$K$27,5),(IF(J66="13",VLOOKUP(M66,'Características dos Cabos MX'!$C$15:$L$20,5),"")))))))</f>
        <v/>
      </c>
      <c r="S66" s="245" t="str">
        <f>IF(J66="Duplex",VLOOKUP(M66,'Características dos Cabos MX'!$C$12:$I$14,6),(IF(J66="Triplex",VLOOKUP(M66,'Características dos Cabos MX'!$C$15:$J$20,6),(IF(J66="Quadruplex",VLOOKUP(M66,'Características dos Cabos MX'!$C$21:$K$27,6),(IF(J66="13",VLOOKUP(M66,'Características dos Cabos MX'!$C$15:$L$20,6),"")))))))</f>
        <v/>
      </c>
      <c r="T66" s="246" t="str">
        <f t="shared" si="18"/>
        <v/>
      </c>
      <c r="U66" s="247" t="str">
        <f>IF(J66="Duplex",VLOOKUP(M66,'Características dos Cabos MX'!$C$12:$I$14,2),(IF(J66="Triplex",VLOOKUP(M66,'Características dos Cabos MX'!$C$15:$J$20,2),(IF(J66="Quadruplex",VLOOKUP(M66,'Características dos Cabos MX'!$C$21:$K$27,2),(IF(J66="13",VLOOKUP(M66,'Características dos Cabos MX'!$C$15:$L$20,2),"")))))))</f>
        <v/>
      </c>
      <c r="V66" s="245" t="str">
        <f>IF(J66="Duplex",VLOOKUP(M66,'Características dos Cabos MX'!$C$12:$I$14,3),(IF(J66="Triplex",VLOOKUP(M66,'Características dos Cabos MX'!$C$15:$J$20,3),(IF(J66="Quadruplex",VLOOKUP(M66,'Características dos Cabos MX'!$C$21:$K$27,3),(IF(J66="13",VLOOKUP(M66,'Características dos Cabos MX'!$C$15:$L$20,3),"")))))))</f>
        <v/>
      </c>
      <c r="W66" s="248" t="str">
        <f t="shared" si="19"/>
        <v/>
      </c>
      <c r="X66" s="248" t="str">
        <f t="shared" si="20"/>
        <v/>
      </c>
      <c r="Y66" s="249" t="str">
        <f t="shared" si="21"/>
        <v/>
      </c>
      <c r="Z66" s="121" t="str">
        <f>IF(O66="","",O66+VLOOKUP(C66,$D$20:$P$44,13,FALSE))</f>
        <v/>
      </c>
      <c r="AA66" s="298">
        <f t="shared" si="17"/>
        <v>0</v>
      </c>
      <c r="AB66" s="298">
        <f t="shared" si="2"/>
        <v>0</v>
      </c>
      <c r="AC66" s="284"/>
      <c r="AE66" s="299" t="str">
        <f t="shared" si="13"/>
        <v/>
      </c>
      <c r="AF66" s="334">
        <f t="shared" si="14"/>
        <v>0</v>
      </c>
    </row>
    <row r="67" spans="1:32" ht="15" customHeight="1" x14ac:dyDescent="0.25">
      <c r="A67" s="575"/>
      <c r="B67" s="564"/>
      <c r="C67" s="432"/>
      <c r="D67" s="433"/>
      <c r="E67" s="438"/>
      <c r="F67" s="216" t="str">
        <f t="shared" si="15"/>
        <v/>
      </c>
      <c r="G67" s="451"/>
      <c r="H67" s="217" t="str">
        <f>IF(AND(E67="",G67=""),"",SUM(F67:G75))</f>
        <v/>
      </c>
      <c r="I67" s="218"/>
      <c r="J67" s="262"/>
      <c r="K67" s="262"/>
      <c r="L67" s="226" t="str">
        <f>IF(J67="Duplex",VLOOKUP(M67,'Características dos Cabos MX'!$C$12:$I$14,7),(IF(J67="Triplex",VLOOKUP(M67,'Características dos Cabos MX'!$C$15:$J$20,8),(IF(J67="Quadruplex",VLOOKUP(M67,'Características dos Cabos MX'!$C$21:$K$27,9),(IF(J67="13",VLOOKUP(M67,'Características dos Cabos MX'!$C$15:$L$20,10),"")))))))</f>
        <v/>
      </c>
      <c r="M67" s="410" t="str">
        <f t="shared" si="5"/>
        <v/>
      </c>
      <c r="N67" s="444"/>
      <c r="O67" s="219" t="str">
        <f t="shared" si="16"/>
        <v/>
      </c>
      <c r="P67" s="220" t="str">
        <f t="shared" si="22"/>
        <v/>
      </c>
      <c r="Q67" s="220" t="str">
        <f t="shared" si="7"/>
        <v/>
      </c>
      <c r="R67" s="221" t="str">
        <f>IF(J67="Duplex",VLOOKUP(M67,'Características dos Cabos MX'!$C$12:$I$14,5),(IF(J67="Triplex",VLOOKUP(M67,'Características dos Cabos MX'!$C$15:$J$20,5),(IF(J67="Quadruplex",VLOOKUP(M67,'Características dos Cabos MX'!$C$21:$K$27,5),(IF(J67="13",VLOOKUP(M67,'Características dos Cabos MX'!$C$15:$L$20,5),"")))))))</f>
        <v/>
      </c>
      <c r="S67" s="221" t="str">
        <f>IF(J67="Duplex",VLOOKUP(M67,'Características dos Cabos MX'!$C$12:$I$14,6),(IF(J67="Triplex",VLOOKUP(M67,'Características dos Cabos MX'!$C$15:$J$20,6),(IF(J67="Quadruplex",VLOOKUP(M67,'Características dos Cabos MX'!$C$21:$K$27,6),(IF(J67="13",VLOOKUP(M67,'Características dos Cabos MX'!$C$15:$L$20,6),"")))))))</f>
        <v/>
      </c>
      <c r="T67" s="222" t="str">
        <f t="shared" si="18"/>
        <v/>
      </c>
      <c r="U67" s="223" t="str">
        <f>IF(J67="Duplex",VLOOKUP(M67,'Características dos Cabos MX'!$C$12:$I$14,2),(IF(J67="Triplex",VLOOKUP(M67,'Características dos Cabos MX'!$C$15:$J$20,2),(IF(J67="Quadruplex",VLOOKUP(M67,'Características dos Cabos MX'!$C$21:$K$27,2),(IF(J67="13",VLOOKUP(M67,'Características dos Cabos MX'!$C$15:$L$20,2),"")))))))</f>
        <v/>
      </c>
      <c r="V67" s="221" t="str">
        <f>IF(J67="Duplex",VLOOKUP(M67,'Características dos Cabos MX'!$C$12:$I$14,3),(IF(J67="Triplex",VLOOKUP(M67,'Características dos Cabos MX'!$C$15:$J$20,3),(IF(J67="Quadruplex",VLOOKUP(M67,'Características dos Cabos MX'!$C$21:$K$27,3),(IF(J67="13",VLOOKUP(M67,'Características dos Cabos MX'!$C$15:$L$20,3),"")))))))</f>
        <v/>
      </c>
      <c r="W67" s="224" t="str">
        <f t="shared" si="19"/>
        <v/>
      </c>
      <c r="X67" s="224" t="str">
        <f t="shared" si="20"/>
        <v/>
      </c>
      <c r="Y67" s="225" t="str">
        <f t="shared" si="21"/>
        <v/>
      </c>
      <c r="AA67" s="298">
        <f t="shared" si="17"/>
        <v>0</v>
      </c>
      <c r="AB67" s="298">
        <f t="shared" si="2"/>
        <v>0</v>
      </c>
      <c r="AC67" s="284"/>
      <c r="AE67" s="299" t="str">
        <f t="shared" si="13"/>
        <v/>
      </c>
      <c r="AF67" s="334">
        <f t="shared" si="14"/>
        <v>0</v>
      </c>
    </row>
    <row r="68" spans="1:32" ht="15" customHeight="1" x14ac:dyDescent="0.25">
      <c r="A68" s="575"/>
      <c r="B68" s="564"/>
      <c r="C68" s="432"/>
      <c r="D68" s="433"/>
      <c r="E68" s="438"/>
      <c r="F68" s="216" t="str">
        <f t="shared" si="15"/>
        <v/>
      </c>
      <c r="G68" s="451"/>
      <c r="H68" s="217" t="str">
        <f>IF(AND(E68="",G68=""),"",SUM(F68:G75))</f>
        <v/>
      </c>
      <c r="I68" s="218"/>
      <c r="J68" s="262"/>
      <c r="K68" s="262"/>
      <c r="L68" s="226" t="str">
        <f>IF(J68="Duplex",VLOOKUP(M68,'Características dos Cabos MX'!$C$12:$I$14,7),(IF(J68="Triplex",VLOOKUP(M68,'Características dos Cabos MX'!$C$15:$J$20,8),(IF(J68="Quadruplex",VLOOKUP(M68,'Características dos Cabos MX'!$C$21:$K$27,9),(IF(J68="13",VLOOKUP(M68,'Características dos Cabos MX'!$C$15:$L$20,10),"")))))))</f>
        <v/>
      </c>
      <c r="M68" s="410" t="str">
        <f t="shared" si="5"/>
        <v/>
      </c>
      <c r="N68" s="444"/>
      <c r="O68" s="219" t="str">
        <f t="shared" si="16"/>
        <v/>
      </c>
      <c r="P68" s="220" t="str">
        <f t="shared" si="22"/>
        <v/>
      </c>
      <c r="Q68" s="220" t="str">
        <f t="shared" si="7"/>
        <v/>
      </c>
      <c r="R68" s="221" t="str">
        <f>IF(J68="Duplex",VLOOKUP(M68,'Características dos Cabos MX'!$C$12:$I$14,5),(IF(J68="Triplex",VLOOKUP(M68,'Características dos Cabos MX'!$C$15:$J$20,5),(IF(J68="Quadruplex",VLOOKUP(M68,'Características dos Cabos MX'!$C$21:$K$27,5),(IF(J68="13",VLOOKUP(M68,'Características dos Cabos MX'!$C$15:$L$20,5),"")))))))</f>
        <v/>
      </c>
      <c r="S68" s="221" t="str">
        <f>IF(J68="Duplex",VLOOKUP(M68,'Características dos Cabos MX'!$C$12:$I$14,6),(IF(J68="Triplex",VLOOKUP(M68,'Características dos Cabos MX'!$C$15:$J$20,6),(IF(J68="Quadruplex",VLOOKUP(M68,'Características dos Cabos MX'!$C$21:$K$27,6),(IF(J68="13",VLOOKUP(M68,'Características dos Cabos MX'!$C$15:$L$20,6),"")))))))</f>
        <v/>
      </c>
      <c r="T68" s="222" t="str">
        <f t="shared" si="18"/>
        <v/>
      </c>
      <c r="U68" s="223" t="str">
        <f>IF(J68="Duplex",VLOOKUP(M68,'Características dos Cabos MX'!$C$12:$I$14,2),(IF(J68="Triplex",VLOOKUP(M68,'Características dos Cabos MX'!$C$15:$J$20,2),(IF(J68="Quadruplex",VLOOKUP(M68,'Características dos Cabos MX'!$C$21:$K$27,2),(IF(J68="13",VLOOKUP(M68,'Características dos Cabos MX'!$C$15:$L$20,2),"")))))))</f>
        <v/>
      </c>
      <c r="V68" s="221" t="str">
        <f>IF(J68="Duplex",VLOOKUP(M68,'Características dos Cabos MX'!$C$12:$I$14,3),(IF(J68="Triplex",VLOOKUP(M68,'Características dos Cabos MX'!$C$15:$J$20,3),(IF(J68="Quadruplex",VLOOKUP(M68,'Características dos Cabos MX'!$C$21:$K$27,3),(IF(J68="13",VLOOKUP(M68,'Características dos Cabos MX'!$C$15:$L$20,3),"")))))))</f>
        <v/>
      </c>
      <c r="W68" s="224" t="str">
        <f t="shared" si="19"/>
        <v/>
      </c>
      <c r="X68" s="224" t="str">
        <f t="shared" si="20"/>
        <v/>
      </c>
      <c r="Y68" s="225" t="str">
        <f t="shared" si="21"/>
        <v/>
      </c>
      <c r="AA68" s="298">
        <f t="shared" si="17"/>
        <v>0</v>
      </c>
      <c r="AB68" s="298">
        <f t="shared" si="2"/>
        <v>0</v>
      </c>
      <c r="AC68" s="284"/>
      <c r="AE68" s="299" t="str">
        <f t="shared" si="13"/>
        <v/>
      </c>
      <c r="AF68" s="334">
        <f t="shared" si="14"/>
        <v>0</v>
      </c>
    </row>
    <row r="69" spans="1:32" ht="15" customHeight="1" x14ac:dyDescent="0.25">
      <c r="A69" s="575"/>
      <c r="B69" s="564"/>
      <c r="C69" s="432"/>
      <c r="D69" s="433"/>
      <c r="E69" s="438"/>
      <c r="F69" s="216" t="str">
        <f t="shared" si="15"/>
        <v/>
      </c>
      <c r="G69" s="451"/>
      <c r="H69" s="217" t="str">
        <f>IF(AND(E69="",G69=""),"",SUM(F69:G75))</f>
        <v/>
      </c>
      <c r="I69" s="218"/>
      <c r="J69" s="262"/>
      <c r="K69" s="262"/>
      <c r="L69" s="226" t="str">
        <f>IF(J69="Duplex",VLOOKUP(M69,'Características dos Cabos MX'!$C$12:$I$14,7),(IF(J69="Triplex",VLOOKUP(M69,'Características dos Cabos MX'!$C$15:$J$20,8),(IF(J69="Quadruplex",VLOOKUP(M69,'Características dos Cabos MX'!$C$21:$K$27,9),(IF(J69="13",VLOOKUP(M69,'Características dos Cabos MX'!$C$15:$L$20,10),"")))))))</f>
        <v/>
      </c>
      <c r="M69" s="410" t="str">
        <f t="shared" si="5"/>
        <v/>
      </c>
      <c r="N69" s="444"/>
      <c r="O69" s="219" t="str">
        <f t="shared" si="16"/>
        <v/>
      </c>
      <c r="P69" s="220" t="str">
        <f t="shared" si="22"/>
        <v/>
      </c>
      <c r="Q69" s="220" t="str">
        <f t="shared" si="7"/>
        <v/>
      </c>
      <c r="R69" s="221" t="str">
        <f>IF(J69="Duplex",VLOOKUP(M69,'Características dos Cabos MX'!$C$12:$I$14,5),(IF(J69="Triplex",VLOOKUP(M69,'Características dos Cabos MX'!$C$15:$J$20,5),(IF(J69="Quadruplex",VLOOKUP(M69,'Características dos Cabos MX'!$C$21:$K$27,5),(IF(J69="13",VLOOKUP(M69,'Características dos Cabos MX'!$C$15:$L$20,5),"")))))))</f>
        <v/>
      </c>
      <c r="S69" s="221" t="str">
        <f>IF(J69="Duplex",VLOOKUP(M69,'Características dos Cabos MX'!$C$12:$I$14,6),(IF(J69="Triplex",VLOOKUP(M69,'Características dos Cabos MX'!$C$15:$J$20,6),(IF(J69="Quadruplex",VLOOKUP(M69,'Características dos Cabos MX'!$C$21:$K$27,6),(IF(J69="13",VLOOKUP(M69,'Características dos Cabos MX'!$C$15:$L$20,6),"")))))))</f>
        <v/>
      </c>
      <c r="T69" s="222" t="str">
        <f t="shared" si="18"/>
        <v/>
      </c>
      <c r="U69" s="223" t="str">
        <f>IF(J69="Duplex",VLOOKUP(M69,'Características dos Cabos MX'!$C$12:$I$14,2),(IF(J69="Triplex",VLOOKUP(M69,'Características dos Cabos MX'!$C$15:$J$20,2),(IF(J69="Quadruplex",VLOOKUP(M69,'Características dos Cabos MX'!$C$21:$K$27,2),(IF(J69="13",VLOOKUP(M69,'Características dos Cabos MX'!$C$15:$L$20,2),"")))))))</f>
        <v/>
      </c>
      <c r="V69" s="221" t="str">
        <f>IF(J69="Duplex",VLOOKUP(M69,'Características dos Cabos MX'!$C$12:$I$14,3),(IF(J69="Triplex",VLOOKUP(M69,'Características dos Cabos MX'!$C$15:$J$20,3),(IF(J69="Quadruplex",VLOOKUP(M69,'Características dos Cabos MX'!$C$21:$K$27,3),(IF(J69="13",VLOOKUP(M69,'Características dos Cabos MX'!$C$15:$L$20,3),"")))))))</f>
        <v/>
      </c>
      <c r="W69" s="224" t="str">
        <f t="shared" si="19"/>
        <v/>
      </c>
      <c r="X69" s="224" t="str">
        <f t="shared" si="20"/>
        <v/>
      </c>
      <c r="Y69" s="225" t="str">
        <f t="shared" si="21"/>
        <v/>
      </c>
      <c r="AA69" s="298">
        <f t="shared" si="17"/>
        <v>0</v>
      </c>
      <c r="AB69" s="298">
        <f t="shared" si="2"/>
        <v>0</v>
      </c>
      <c r="AC69" s="284"/>
      <c r="AE69" s="299" t="str">
        <f t="shared" si="13"/>
        <v/>
      </c>
      <c r="AF69" s="334">
        <f t="shared" si="14"/>
        <v>0</v>
      </c>
    </row>
    <row r="70" spans="1:32" ht="15" customHeight="1" x14ac:dyDescent="0.25">
      <c r="A70" s="575"/>
      <c r="B70" s="564"/>
      <c r="C70" s="432"/>
      <c r="D70" s="433"/>
      <c r="E70" s="438"/>
      <c r="F70" s="216" t="str">
        <f t="shared" si="15"/>
        <v/>
      </c>
      <c r="G70" s="451"/>
      <c r="H70" s="217" t="str">
        <f>IF(AND(E70="",G70=""),"",SUM(F70:G75))</f>
        <v/>
      </c>
      <c r="I70" s="218"/>
      <c r="J70" s="262"/>
      <c r="K70" s="262"/>
      <c r="L70" s="226" t="str">
        <f>IF(J70="Duplex",VLOOKUP(M70,'Características dos Cabos MX'!$C$12:$I$14,7),(IF(J70="Triplex",VLOOKUP(M70,'Características dos Cabos MX'!$C$15:$J$20,8),(IF(J70="Quadruplex",VLOOKUP(M70,'Características dos Cabos MX'!$C$21:$K$27,9),(IF(J70="13",VLOOKUP(M70,'Características dos Cabos MX'!$C$15:$L$20,10),"")))))))</f>
        <v/>
      </c>
      <c r="M70" s="410" t="str">
        <f t="shared" si="5"/>
        <v/>
      </c>
      <c r="N70" s="444"/>
      <c r="O70" s="219" t="str">
        <f t="shared" si="16"/>
        <v/>
      </c>
      <c r="P70" s="220" t="str">
        <f t="shared" si="22"/>
        <v/>
      </c>
      <c r="Q70" s="220" t="str">
        <f t="shared" si="7"/>
        <v/>
      </c>
      <c r="R70" s="221" t="str">
        <f>IF(J70="Duplex",VLOOKUP(M70,'Características dos Cabos MX'!$C$12:$I$14,5),(IF(J70="Triplex",VLOOKUP(M70,'Características dos Cabos MX'!$C$15:$J$20,5),(IF(J70="Quadruplex",VLOOKUP(M70,'Características dos Cabos MX'!$C$21:$K$27,5),(IF(J70="13",VLOOKUP(M70,'Características dos Cabos MX'!$C$15:$L$20,5),"")))))))</f>
        <v/>
      </c>
      <c r="S70" s="221" t="str">
        <f>IF(J70="Duplex",VLOOKUP(M70,'Características dos Cabos MX'!$C$12:$I$14,6),(IF(J70="Triplex",VLOOKUP(M70,'Características dos Cabos MX'!$C$15:$J$20,6),(IF(J70="Quadruplex",VLOOKUP(M70,'Características dos Cabos MX'!$C$21:$K$27,6),(IF(J70="13",VLOOKUP(M70,'Características dos Cabos MX'!$C$15:$L$20,6),"")))))))</f>
        <v/>
      </c>
      <c r="T70" s="222" t="str">
        <f t="shared" si="18"/>
        <v/>
      </c>
      <c r="U70" s="223" t="str">
        <f>IF(J70="Duplex",VLOOKUP(M70,'Características dos Cabos MX'!$C$12:$I$14,2),(IF(J70="Triplex",VLOOKUP(M70,'Características dos Cabos MX'!$C$15:$J$20,2),(IF(J70="Quadruplex",VLOOKUP(M70,'Características dos Cabos MX'!$C$21:$K$27,2),(IF(J70="13",VLOOKUP(M70,'Características dos Cabos MX'!$C$15:$L$20,2),"")))))))</f>
        <v/>
      </c>
      <c r="V70" s="221" t="str">
        <f>IF(J70="Duplex",VLOOKUP(M70,'Características dos Cabos MX'!$C$12:$I$14,3),(IF(J70="Triplex",VLOOKUP(M70,'Características dos Cabos MX'!$C$15:$J$20,3),(IF(J70="Quadruplex",VLOOKUP(M70,'Características dos Cabos MX'!$C$21:$K$27,3),(IF(J70="13",VLOOKUP(M70,'Características dos Cabos MX'!$C$15:$L$20,3),"")))))))</f>
        <v/>
      </c>
      <c r="W70" s="224" t="str">
        <f t="shared" si="19"/>
        <v/>
      </c>
      <c r="X70" s="224" t="str">
        <f t="shared" si="20"/>
        <v/>
      </c>
      <c r="Y70" s="225" t="str">
        <f t="shared" si="21"/>
        <v/>
      </c>
      <c r="AA70" s="298">
        <f t="shared" si="17"/>
        <v>0</v>
      </c>
      <c r="AB70" s="298">
        <f t="shared" si="2"/>
        <v>0</v>
      </c>
      <c r="AC70" s="284"/>
      <c r="AE70" s="299" t="str">
        <f t="shared" si="13"/>
        <v/>
      </c>
      <c r="AF70" s="334">
        <f t="shared" si="14"/>
        <v>0</v>
      </c>
    </row>
    <row r="71" spans="1:32" ht="15" customHeight="1" x14ac:dyDescent="0.25">
      <c r="A71" s="575"/>
      <c r="B71" s="564"/>
      <c r="C71" s="432"/>
      <c r="D71" s="433"/>
      <c r="E71" s="438"/>
      <c r="F71" s="216" t="str">
        <f t="shared" si="15"/>
        <v/>
      </c>
      <c r="G71" s="451"/>
      <c r="H71" s="217" t="str">
        <f>IF(AND(E71="",G71=""),"",SUM(F71:G75))</f>
        <v/>
      </c>
      <c r="I71" s="218"/>
      <c r="J71" s="262"/>
      <c r="K71" s="262"/>
      <c r="L71" s="226" t="str">
        <f>IF(J71="Duplex",VLOOKUP(M71,'Características dos Cabos MX'!$C$12:$I$14,7),(IF(J71="Triplex",VLOOKUP(M71,'Características dos Cabos MX'!$C$15:$J$20,8),(IF(J71="Quadruplex",VLOOKUP(M71,'Características dos Cabos MX'!$C$21:$K$27,9),(IF(J71="13",VLOOKUP(M71,'Características dos Cabos MX'!$C$15:$L$20,10),"")))))))</f>
        <v/>
      </c>
      <c r="M71" s="410" t="str">
        <f t="shared" si="5"/>
        <v/>
      </c>
      <c r="N71" s="444"/>
      <c r="O71" s="219" t="str">
        <f t="shared" si="16"/>
        <v/>
      </c>
      <c r="P71" s="220" t="str">
        <f t="shared" si="22"/>
        <v/>
      </c>
      <c r="Q71" s="220" t="str">
        <f t="shared" si="7"/>
        <v/>
      </c>
      <c r="R71" s="221" t="str">
        <f>IF(J71="Duplex",VLOOKUP(M71,'Características dos Cabos MX'!$C$12:$I$14,5),(IF(J71="Triplex",VLOOKUP(M71,'Características dos Cabos MX'!$C$15:$J$20,5),(IF(J71="Quadruplex",VLOOKUP(M71,'Características dos Cabos MX'!$C$21:$K$27,5),(IF(J71="13",VLOOKUP(M71,'Características dos Cabos MX'!$C$15:$L$20,5),"")))))))</f>
        <v/>
      </c>
      <c r="S71" s="221" t="str">
        <f>IF(J71="Duplex",VLOOKUP(M71,'Características dos Cabos MX'!$C$12:$I$14,6),(IF(J71="Triplex",VLOOKUP(M71,'Características dos Cabos MX'!$C$15:$J$20,6),(IF(J71="Quadruplex",VLOOKUP(M71,'Características dos Cabos MX'!$C$21:$K$27,6),(IF(J71="13",VLOOKUP(M71,'Características dos Cabos MX'!$C$15:$L$20,6),"")))))))</f>
        <v/>
      </c>
      <c r="T71" s="222" t="str">
        <f t="shared" si="18"/>
        <v/>
      </c>
      <c r="U71" s="223" t="str">
        <f>IF(J71="Duplex",VLOOKUP(M71,'Características dos Cabos MX'!$C$12:$I$14,2),(IF(J71="Triplex",VLOOKUP(M71,'Características dos Cabos MX'!$C$15:$J$20,2),(IF(J71="Quadruplex",VLOOKUP(M71,'Características dos Cabos MX'!$C$21:$K$27,2),(IF(J71="13",VLOOKUP(M71,'Características dos Cabos MX'!$C$15:$L$20,2),"")))))))</f>
        <v/>
      </c>
      <c r="V71" s="221" t="str">
        <f>IF(J71="Duplex",VLOOKUP(M71,'Características dos Cabos MX'!$C$12:$I$14,3),(IF(J71="Triplex",VLOOKUP(M71,'Características dos Cabos MX'!$C$15:$J$20,3),(IF(J71="Quadruplex",VLOOKUP(M71,'Características dos Cabos MX'!$C$21:$K$27,3),(IF(J71="13",VLOOKUP(M71,'Características dos Cabos MX'!$C$15:$L$20,3),"")))))))</f>
        <v/>
      </c>
      <c r="W71" s="224" t="str">
        <f t="shared" si="19"/>
        <v/>
      </c>
      <c r="X71" s="224" t="str">
        <f t="shared" si="20"/>
        <v/>
      </c>
      <c r="Y71" s="225" t="str">
        <f t="shared" si="21"/>
        <v/>
      </c>
      <c r="AA71" s="298">
        <f t="shared" si="17"/>
        <v>0</v>
      </c>
      <c r="AB71" s="298">
        <f t="shared" si="2"/>
        <v>0</v>
      </c>
      <c r="AC71" s="284"/>
      <c r="AE71" s="299" t="str">
        <f t="shared" si="13"/>
        <v/>
      </c>
      <c r="AF71" s="334">
        <f t="shared" si="14"/>
        <v>0</v>
      </c>
    </row>
    <row r="72" spans="1:32" ht="15" customHeight="1" x14ac:dyDescent="0.25">
      <c r="A72" s="575"/>
      <c r="B72" s="564"/>
      <c r="C72" s="432"/>
      <c r="D72" s="433"/>
      <c r="E72" s="438"/>
      <c r="F72" s="216" t="str">
        <f t="shared" si="15"/>
        <v/>
      </c>
      <c r="G72" s="451"/>
      <c r="H72" s="217" t="str">
        <f>IF(AND(E72="",G72=""),"",SUM(F72:G75))</f>
        <v/>
      </c>
      <c r="I72" s="218"/>
      <c r="J72" s="259"/>
      <c r="K72" s="259"/>
      <c r="L72" s="226" t="str">
        <f>IF(J72="Duplex",VLOOKUP(M72,'Características dos Cabos MX'!$C$12:$I$14,7),(IF(J72="Triplex",VLOOKUP(M72,'Características dos Cabos MX'!$C$15:$J$20,8),(IF(J72="Quadruplex",VLOOKUP(M72,'Características dos Cabos MX'!$C$21:$K$27,9),(IF(J72="13",VLOOKUP(M72,'Características dos Cabos MX'!$C$15:$L$20,10),"")))))))</f>
        <v/>
      </c>
      <c r="M72" s="410" t="str">
        <f t="shared" si="5"/>
        <v/>
      </c>
      <c r="N72" s="444"/>
      <c r="O72" s="219" t="str">
        <f t="shared" si="16"/>
        <v/>
      </c>
      <c r="P72" s="220" t="str">
        <f t="shared" si="22"/>
        <v/>
      </c>
      <c r="Q72" s="220" t="str">
        <f t="shared" si="7"/>
        <v/>
      </c>
      <c r="R72" s="221" t="str">
        <f>IF(J72="Duplex",VLOOKUP(M72,'Características dos Cabos MX'!$C$12:$I$14,5),(IF(J72="Triplex",VLOOKUP(M72,'Características dos Cabos MX'!$C$15:$J$20,5),(IF(J72="Quadruplex",VLOOKUP(M72,'Características dos Cabos MX'!$C$21:$K$27,5),(IF(J72="13",VLOOKUP(M72,'Características dos Cabos MX'!$C$15:$L$20,5),"")))))))</f>
        <v/>
      </c>
      <c r="S72" s="221" t="str">
        <f>IF(J72="Duplex",VLOOKUP(M72,'Características dos Cabos MX'!$C$12:$I$14,6),(IF(J72="Triplex",VLOOKUP(M72,'Características dos Cabos MX'!$C$15:$J$20,6),(IF(J72="Quadruplex",VLOOKUP(M72,'Características dos Cabos MX'!$C$21:$K$27,6),(IF(J72="13",VLOOKUP(M72,'Características dos Cabos MX'!$C$15:$L$20,6),"")))))))</f>
        <v/>
      </c>
      <c r="T72" s="222" t="str">
        <f t="shared" si="18"/>
        <v/>
      </c>
      <c r="U72" s="223" t="str">
        <f>IF(J72="Duplex",VLOOKUP(M72,'Características dos Cabos MX'!$C$12:$I$14,2),(IF(J72="Triplex",VLOOKUP(M72,'Características dos Cabos MX'!$C$15:$J$20,2),(IF(J72="Quadruplex",VLOOKUP(M72,'Características dos Cabos MX'!$C$21:$K$27,2),(IF(J72="13",VLOOKUP(M72,'Características dos Cabos MX'!$C$15:$L$20,2),"")))))))</f>
        <v/>
      </c>
      <c r="V72" s="221" t="str">
        <f>IF(J72="Duplex",VLOOKUP(M72,'Características dos Cabos MX'!$C$12:$I$14,3),(IF(J72="Triplex",VLOOKUP(M72,'Características dos Cabos MX'!$C$15:$J$20,3),(IF(J72="Quadruplex",VLOOKUP(M72,'Características dos Cabos MX'!$C$21:$K$27,3),(IF(J72="13",VLOOKUP(M72,'Características dos Cabos MX'!$C$15:$L$20,3),"")))))))</f>
        <v/>
      </c>
      <c r="W72" s="224" t="str">
        <f t="shared" si="19"/>
        <v/>
      </c>
      <c r="X72" s="224" t="str">
        <f t="shared" si="20"/>
        <v/>
      </c>
      <c r="Y72" s="225" t="str">
        <f t="shared" si="21"/>
        <v/>
      </c>
      <c r="AA72" s="298">
        <f t="shared" si="17"/>
        <v>0</v>
      </c>
      <c r="AB72" s="298">
        <f t="shared" si="2"/>
        <v>0</v>
      </c>
      <c r="AC72" s="284"/>
      <c r="AE72" s="299" t="str">
        <f t="shared" si="13"/>
        <v/>
      </c>
      <c r="AF72" s="334">
        <f t="shared" si="14"/>
        <v>0</v>
      </c>
    </row>
    <row r="73" spans="1:32" ht="15" customHeight="1" x14ac:dyDescent="0.25">
      <c r="A73" s="575"/>
      <c r="B73" s="564"/>
      <c r="C73" s="432"/>
      <c r="D73" s="433"/>
      <c r="E73" s="438"/>
      <c r="F73" s="216" t="str">
        <f t="shared" si="15"/>
        <v/>
      </c>
      <c r="G73" s="451"/>
      <c r="H73" s="217" t="str">
        <f>IF(AND(E73="",G73=""),"",SUM(F73:G75))</f>
        <v/>
      </c>
      <c r="I73" s="218"/>
      <c r="J73" s="259"/>
      <c r="K73" s="259"/>
      <c r="L73" s="226" t="str">
        <f>IF(J73="Duplex",VLOOKUP(M73,'Características dos Cabos MX'!$C$12:$I$14,7),(IF(J73="Triplex",VLOOKUP(M73,'Características dos Cabos MX'!$C$15:$J$20,8),(IF(J73="Quadruplex",VLOOKUP(M73,'Características dos Cabos MX'!$C$21:$K$27,9),(IF(J73="13",VLOOKUP(M73,'Características dos Cabos MX'!$C$15:$L$20,10),"")))))))</f>
        <v/>
      </c>
      <c r="M73" s="410" t="str">
        <f t="shared" si="5"/>
        <v/>
      </c>
      <c r="N73" s="444"/>
      <c r="O73" s="219" t="str">
        <f t="shared" si="16"/>
        <v/>
      </c>
      <c r="P73" s="220" t="str">
        <f t="shared" si="22"/>
        <v/>
      </c>
      <c r="Q73" s="220" t="str">
        <f t="shared" si="7"/>
        <v/>
      </c>
      <c r="R73" s="221" t="str">
        <f>IF(J73="Duplex",VLOOKUP(M73,'Características dos Cabos MX'!$C$12:$I$14,5),(IF(J73="Triplex",VLOOKUP(M73,'Características dos Cabos MX'!$C$15:$J$20,5),(IF(J73="Quadruplex",VLOOKUP(M73,'Características dos Cabos MX'!$C$21:$K$27,5),(IF(J73="13",VLOOKUP(M73,'Características dos Cabos MX'!$C$15:$L$20,5),"")))))))</f>
        <v/>
      </c>
      <c r="S73" s="221" t="str">
        <f>IF(J73="Duplex",VLOOKUP(M73,'Características dos Cabos MX'!$C$12:$I$14,6),(IF(J73="Triplex",VLOOKUP(M73,'Características dos Cabos MX'!$C$15:$J$20,6),(IF(J73="Quadruplex",VLOOKUP(M73,'Características dos Cabos MX'!$C$21:$K$27,6),(IF(J73="13",VLOOKUP(M73,'Características dos Cabos MX'!$C$15:$L$20,6),"")))))))</f>
        <v/>
      </c>
      <c r="T73" s="222" t="str">
        <f t="shared" si="18"/>
        <v/>
      </c>
      <c r="U73" s="223" t="str">
        <f>IF(J73="Duplex",VLOOKUP(M73,'Características dos Cabos MX'!$C$12:$I$14,2),(IF(J73="Triplex",VLOOKUP(M73,'Características dos Cabos MX'!$C$15:$J$20,2),(IF(J73="Quadruplex",VLOOKUP(M73,'Características dos Cabos MX'!$C$21:$K$27,2),(IF(J73="13",VLOOKUP(M73,'Características dos Cabos MX'!$C$15:$L$20,2),"")))))))</f>
        <v/>
      </c>
      <c r="V73" s="221" t="str">
        <f>IF(J73="Duplex",VLOOKUP(M73,'Características dos Cabos MX'!$C$12:$I$14,3),(IF(J73="Triplex",VLOOKUP(M73,'Características dos Cabos MX'!$C$15:$J$20,3),(IF(J73="Quadruplex",VLOOKUP(M73,'Características dos Cabos MX'!$C$21:$K$27,3),(IF(J73="13",VLOOKUP(M73,'Características dos Cabos MX'!$C$15:$L$20,3),"")))))))</f>
        <v/>
      </c>
      <c r="W73" s="224" t="str">
        <f t="shared" si="19"/>
        <v/>
      </c>
      <c r="X73" s="224" t="str">
        <f t="shared" si="20"/>
        <v/>
      </c>
      <c r="Y73" s="225" t="str">
        <f t="shared" si="21"/>
        <v/>
      </c>
      <c r="AA73" s="298">
        <f t="shared" si="17"/>
        <v>0</v>
      </c>
      <c r="AB73" s="298">
        <f t="shared" si="2"/>
        <v>0</v>
      </c>
      <c r="AC73" s="284"/>
      <c r="AE73" s="299" t="str">
        <f t="shared" si="13"/>
        <v/>
      </c>
      <c r="AF73" s="334">
        <f t="shared" si="14"/>
        <v>0</v>
      </c>
    </row>
    <row r="74" spans="1:32" ht="15" customHeight="1" x14ac:dyDescent="0.25">
      <c r="A74" s="575"/>
      <c r="B74" s="564"/>
      <c r="C74" s="432"/>
      <c r="D74" s="433"/>
      <c r="E74" s="438"/>
      <c r="F74" s="216" t="str">
        <f t="shared" si="15"/>
        <v/>
      </c>
      <c r="G74" s="451"/>
      <c r="H74" s="217" t="str">
        <f>IF(AND(E74="",G74=""),"",SUM(F74:G75))</f>
        <v/>
      </c>
      <c r="I74" s="218"/>
      <c r="J74" s="259"/>
      <c r="K74" s="259"/>
      <c r="L74" s="226" t="str">
        <f>IF(J74="Duplex",VLOOKUP(M74,'Características dos Cabos MX'!$C$12:$I$14,7),(IF(J74="Triplex",VLOOKUP(M74,'Características dos Cabos MX'!$C$15:$J$20,8),(IF(J74="Quadruplex",VLOOKUP(M74,'Características dos Cabos MX'!$C$21:$K$27,9),(IF(J74="13",VLOOKUP(M74,'Características dos Cabos MX'!$C$15:$L$20,10),"")))))))</f>
        <v/>
      </c>
      <c r="M74" s="410" t="str">
        <f t="shared" si="5"/>
        <v/>
      </c>
      <c r="N74" s="444"/>
      <c r="O74" s="219" t="str">
        <f t="shared" si="16"/>
        <v/>
      </c>
      <c r="P74" s="220" t="str">
        <f t="shared" si="22"/>
        <v/>
      </c>
      <c r="Q74" s="220" t="str">
        <f t="shared" si="7"/>
        <v/>
      </c>
      <c r="R74" s="221" t="str">
        <f>IF(J74="Duplex",VLOOKUP(M74,'Características dos Cabos MX'!$C$12:$I$14,5),(IF(J74="Triplex",VLOOKUP(M74,'Características dos Cabos MX'!$C$15:$J$20,5),(IF(J74="Quadruplex",VLOOKUP(M74,'Características dos Cabos MX'!$C$21:$K$27,5),(IF(J74="13",VLOOKUP(M74,'Características dos Cabos MX'!$C$15:$L$20,5),"")))))))</f>
        <v/>
      </c>
      <c r="S74" s="221" t="str">
        <f>IF(J74="Duplex",VLOOKUP(M74,'Características dos Cabos MX'!$C$12:$I$14,6),(IF(J74="Triplex",VLOOKUP(M74,'Características dos Cabos MX'!$C$15:$J$20,6),(IF(J74="Quadruplex",VLOOKUP(M74,'Características dos Cabos MX'!$C$21:$K$27,6),(IF(J74="13",VLOOKUP(M74,'Características dos Cabos MX'!$C$15:$L$20,6),"")))))))</f>
        <v/>
      </c>
      <c r="T74" s="222" t="str">
        <f t="shared" si="18"/>
        <v/>
      </c>
      <c r="U74" s="223" t="str">
        <f>IF(J74="Duplex",VLOOKUP(M74,'Características dos Cabos MX'!$C$12:$I$14,2),(IF(J74="Triplex",VLOOKUP(M74,'Características dos Cabos MX'!$C$15:$J$20,2),(IF(J74="Quadruplex",VLOOKUP(M74,'Características dos Cabos MX'!$C$21:$K$27,2),(IF(J74="13",VLOOKUP(M74,'Características dos Cabos MX'!$C$15:$L$20,2),"")))))))</f>
        <v/>
      </c>
      <c r="V74" s="221" t="str">
        <f>IF(J74="Duplex",VLOOKUP(M74,'Características dos Cabos MX'!$C$12:$I$14,3),(IF(J74="Triplex",VLOOKUP(M74,'Características dos Cabos MX'!$C$15:$J$20,3),(IF(J74="Quadruplex",VLOOKUP(M74,'Características dos Cabos MX'!$C$21:$K$27,3),(IF(J74="13",VLOOKUP(M74,'Características dos Cabos MX'!$C$15:$L$20,3),"")))))))</f>
        <v/>
      </c>
      <c r="W74" s="224" t="str">
        <f t="shared" si="19"/>
        <v/>
      </c>
      <c r="X74" s="224" t="str">
        <f t="shared" si="20"/>
        <v/>
      </c>
      <c r="Y74" s="225" t="str">
        <f t="shared" si="21"/>
        <v/>
      </c>
      <c r="AA74" s="298">
        <f t="shared" si="17"/>
        <v>0</v>
      </c>
      <c r="AB74" s="298">
        <f t="shared" si="2"/>
        <v>0</v>
      </c>
      <c r="AC74" s="284"/>
      <c r="AE74" s="299" t="str">
        <f t="shared" si="13"/>
        <v/>
      </c>
      <c r="AF74" s="334">
        <f t="shared" si="14"/>
        <v>0</v>
      </c>
    </row>
    <row r="75" spans="1:32" ht="15" customHeight="1" thickBot="1" x14ac:dyDescent="0.3">
      <c r="A75" s="575"/>
      <c r="B75" s="565"/>
      <c r="C75" s="434"/>
      <c r="D75" s="435"/>
      <c r="E75" s="434"/>
      <c r="F75" s="228" t="str">
        <f t="shared" si="15"/>
        <v/>
      </c>
      <c r="G75" s="452"/>
      <c r="H75" s="229" t="str">
        <f>IF(AND(E75="",G75=""),"",SUM(F75:G75))</f>
        <v/>
      </c>
      <c r="I75" s="230"/>
      <c r="J75" s="260"/>
      <c r="K75" s="260"/>
      <c r="L75" s="231" t="str">
        <f>IF(J75="Duplex",VLOOKUP(M75,'Características dos Cabos MX'!$C$12:$I$14,7),(IF(J75="Triplex",VLOOKUP(M75,'Características dos Cabos MX'!$C$15:$J$20,8),(IF(J75="Quadruplex",VLOOKUP(M75,'Características dos Cabos MX'!$C$21:$K$27,9),(IF(J75="13",VLOOKUP(M75,'Características dos Cabos MX'!$C$15:$L$20,10),"")))))))</f>
        <v/>
      </c>
      <c r="M75" s="412" t="str">
        <f t="shared" si="5"/>
        <v/>
      </c>
      <c r="N75" s="445"/>
      <c r="O75" s="232" t="str">
        <f t="shared" si="16"/>
        <v/>
      </c>
      <c r="P75" s="233" t="str">
        <f t="shared" si="22"/>
        <v/>
      </c>
      <c r="Q75" s="233" t="str">
        <f t="shared" si="7"/>
        <v/>
      </c>
      <c r="R75" s="234" t="str">
        <f>IF(J75="Duplex",VLOOKUP(M75,'Características dos Cabos MX'!$C$12:$I$14,5),(IF(J75="Triplex",VLOOKUP(M75,'Características dos Cabos MX'!$C$15:$J$20,5),(IF(J75="Quadruplex",VLOOKUP(M75,'Características dos Cabos MX'!$C$21:$K$27,5),(IF(J75="13",VLOOKUP(M75,'Características dos Cabos MX'!$C$15:$L$20,5),"")))))))</f>
        <v/>
      </c>
      <c r="S75" s="234" t="str">
        <f>IF(J75="Duplex",VLOOKUP(M75,'Características dos Cabos MX'!$C$12:$I$14,6),(IF(J75="Triplex",VLOOKUP(M75,'Características dos Cabos MX'!$C$15:$J$20,6),(IF(J75="Quadruplex",VLOOKUP(M75,'Características dos Cabos MX'!$C$21:$K$27,6),(IF(J75="13",VLOOKUP(M75,'Características dos Cabos MX'!$C$15:$L$20,6),"")))))))</f>
        <v/>
      </c>
      <c r="T75" s="235" t="str">
        <f t="shared" si="18"/>
        <v/>
      </c>
      <c r="U75" s="236" t="str">
        <f>IF(J75="Duplex",VLOOKUP(M75,'Características dos Cabos MX'!$C$12:$I$14,2),(IF(J75="Triplex",VLOOKUP(M75,'Características dos Cabos MX'!$C$15:$J$20,2),(IF(J75="Quadruplex",VLOOKUP(M75,'Características dos Cabos MX'!$C$21:$K$27,2),(IF(J75="13",VLOOKUP(M75,'Características dos Cabos MX'!$C$15:$L$20,2),"")))))))</f>
        <v/>
      </c>
      <c r="V75" s="234" t="str">
        <f>IF(J75="Duplex",VLOOKUP(M75,'Características dos Cabos MX'!$C$12:$I$14,3),(IF(J75="Triplex",VLOOKUP(M75,'Características dos Cabos MX'!$C$15:$J$20,3),(IF(J75="Quadruplex",VLOOKUP(M75,'Características dos Cabos MX'!$C$21:$K$27,3),(IF(J75="13",VLOOKUP(M75,'Características dos Cabos MX'!$C$15:$L$20,3),"")))))))</f>
        <v/>
      </c>
      <c r="W75" s="237" t="str">
        <f t="shared" si="19"/>
        <v/>
      </c>
      <c r="X75" s="237" t="str">
        <f t="shared" si="20"/>
        <v/>
      </c>
      <c r="Y75" s="238" t="str">
        <f t="shared" si="21"/>
        <v/>
      </c>
      <c r="AA75" s="298">
        <f t="shared" si="17"/>
        <v>0</v>
      </c>
      <c r="AB75" s="298">
        <f t="shared" si="2"/>
        <v>0</v>
      </c>
      <c r="AC75" s="284"/>
      <c r="AE75" s="299" t="str">
        <f t="shared" si="13"/>
        <v/>
      </c>
      <c r="AF75" s="334">
        <f t="shared" si="14"/>
        <v>0</v>
      </c>
    </row>
    <row r="76" spans="1:32" ht="15" customHeight="1" thickTop="1" x14ac:dyDescent="0.25">
      <c r="A76" s="575"/>
      <c r="B76" s="563" t="str">
        <f>CONCATENATE("Ramal 4 - Derivando no ponto ",C76)</f>
        <v xml:space="preserve">Ramal 4 - Derivando no ponto </v>
      </c>
      <c r="C76" s="431"/>
      <c r="D76" s="436"/>
      <c r="E76" s="440"/>
      <c r="F76" s="239" t="str">
        <f t="shared" si="15"/>
        <v/>
      </c>
      <c r="G76" s="453"/>
      <c r="H76" s="240" t="str">
        <f>IF(AND(E76="",G76=""),"",SUM(F76:G85))</f>
        <v/>
      </c>
      <c r="I76" s="241"/>
      <c r="J76" s="262"/>
      <c r="K76" s="262"/>
      <c r="L76" s="242" t="str">
        <f>IF(J76="Duplex",VLOOKUP(M76,'Características dos Cabos MX'!$C$12:$I$14,7),(IF(J76="Triplex",VLOOKUP(M76,'Características dos Cabos MX'!$C$15:$J$20,8),(IF(J76="Quadruplex",VLOOKUP(M76,'Características dos Cabos MX'!$C$21:$K$27,9),(IF(J76="13",VLOOKUP(M76,'Características dos Cabos MX'!$C$15:$L$20,10),"")))))))</f>
        <v/>
      </c>
      <c r="M76" s="413" t="str">
        <f t="shared" si="5"/>
        <v/>
      </c>
      <c r="N76" s="446"/>
      <c r="O76" s="243" t="str">
        <f t="shared" si="16"/>
        <v/>
      </c>
      <c r="P76" s="244" t="str">
        <f>IF(O76="","",O76+VLOOKUP(C76,$D$20:$Q$76,13,FALSE))</f>
        <v/>
      </c>
      <c r="Q76" s="244" t="str">
        <f t="shared" si="7"/>
        <v/>
      </c>
      <c r="R76" s="245" t="str">
        <f>IF(J76="Duplex",VLOOKUP(M76,'Características dos Cabos MX'!$C$12:$I$14,5),(IF(J76="Triplex",VLOOKUP(M76,'Características dos Cabos MX'!$C$15:$J$20,5),(IF(J76="Quadruplex",VLOOKUP(M76,'Características dos Cabos MX'!$C$21:$K$27,5),(IF(J76="13",VLOOKUP(M76,'Características dos Cabos MX'!$C$15:$L$20,5),"")))))))</f>
        <v/>
      </c>
      <c r="S76" s="245" t="str">
        <f>IF(J76="Duplex",VLOOKUP(M76,'Características dos Cabos MX'!$C$12:$I$14,6),(IF(J76="Triplex",VLOOKUP(M76,'Características dos Cabos MX'!$C$15:$J$20,6),(IF(J76="Quadruplex",VLOOKUP(M76,'Características dos Cabos MX'!$C$21:$K$27,6),(IF(J76="13",VLOOKUP(M76,'Características dos Cabos MX'!$C$15:$L$20,6),"")))))))</f>
        <v/>
      </c>
      <c r="T76" s="246" t="str">
        <f t="shared" si="18"/>
        <v/>
      </c>
      <c r="U76" s="247" t="str">
        <f>IF(J76="Duplex",VLOOKUP(M76,'Características dos Cabos MX'!$C$12:$I$14,2),(IF(J76="Triplex",VLOOKUP(M76,'Características dos Cabos MX'!$C$15:$J$20,2),(IF(J76="Quadruplex",VLOOKUP(M76,'Características dos Cabos MX'!$C$21:$K$27,2),(IF(J76="13",VLOOKUP(M76,'Características dos Cabos MX'!$C$15:$L$20,2),"")))))))</f>
        <v/>
      </c>
      <c r="V76" s="245" t="str">
        <f>IF(J76="Duplex",VLOOKUP(M76,'Características dos Cabos MX'!$C$12:$I$14,3),(IF(J76="Triplex",VLOOKUP(M76,'Características dos Cabos MX'!$C$15:$J$20,3),(IF(J76="Quadruplex",VLOOKUP(M76,'Características dos Cabos MX'!$C$21:$K$27,3),(IF(J76="13",VLOOKUP(M76,'Características dos Cabos MX'!$C$15:$L$20,3),"")))))))</f>
        <v/>
      </c>
      <c r="W76" s="248" t="str">
        <f t="shared" si="19"/>
        <v/>
      </c>
      <c r="X76" s="248" t="str">
        <f t="shared" si="20"/>
        <v/>
      </c>
      <c r="Y76" s="249" t="str">
        <f t="shared" si="21"/>
        <v/>
      </c>
      <c r="Z76" s="121" t="str">
        <f>IF(O76="","",O76+VLOOKUP(C76,$D$20:$P$44,13,FALSE))</f>
        <v/>
      </c>
      <c r="AA76" s="298">
        <f t="shared" si="17"/>
        <v>0</v>
      </c>
      <c r="AB76" s="298">
        <f t="shared" si="2"/>
        <v>0</v>
      </c>
      <c r="AC76" s="284"/>
      <c r="AE76" s="299" t="str">
        <f t="shared" si="13"/>
        <v/>
      </c>
      <c r="AF76" s="334">
        <f t="shared" si="14"/>
        <v>0</v>
      </c>
    </row>
    <row r="77" spans="1:32" ht="15" customHeight="1" x14ac:dyDescent="0.25">
      <c r="A77" s="575"/>
      <c r="B77" s="564"/>
      <c r="C77" s="432"/>
      <c r="D77" s="433"/>
      <c r="E77" s="438"/>
      <c r="F77" s="216" t="str">
        <f t="shared" si="15"/>
        <v/>
      </c>
      <c r="G77" s="451"/>
      <c r="H77" s="217" t="str">
        <f>IF(AND(E77="",G77=""),"",SUM(F77:G85))</f>
        <v/>
      </c>
      <c r="I77" s="218"/>
      <c r="J77" s="259"/>
      <c r="K77" s="259"/>
      <c r="L77" s="226" t="str">
        <f>IF(J77="Duplex",VLOOKUP(M77,'Características dos Cabos MX'!$C$12:$I$14,7),(IF(J77="Triplex",VLOOKUP(M77,'Características dos Cabos MX'!$C$15:$J$20,8),(IF(J77="Quadruplex",VLOOKUP(M77,'Características dos Cabos MX'!$C$21:$K$27,9),(IF(J77="13",VLOOKUP(M77,'Características dos Cabos MX'!$C$15:$L$20,10),"")))))))</f>
        <v/>
      </c>
      <c r="M77" s="410" t="str">
        <f t="shared" si="5"/>
        <v/>
      </c>
      <c r="N77" s="444"/>
      <c r="O77" s="219" t="str">
        <f t="shared" si="16"/>
        <v/>
      </c>
      <c r="P77" s="220" t="str">
        <f t="shared" si="22"/>
        <v/>
      </c>
      <c r="Q77" s="220" t="str">
        <f t="shared" si="7"/>
        <v/>
      </c>
      <c r="R77" s="221" t="str">
        <f>IF(J77="Duplex",VLOOKUP(M77,'Características dos Cabos MX'!$C$12:$I$14,5),(IF(J77="Triplex",VLOOKUP(M77,'Características dos Cabos MX'!$C$15:$J$20,5),(IF(J77="Quadruplex",VLOOKUP(M77,'Características dos Cabos MX'!$C$21:$K$27,5),(IF(J77="13",VLOOKUP(M77,'Características dos Cabos MX'!$C$15:$L$20,5),"")))))))</f>
        <v/>
      </c>
      <c r="S77" s="221" t="str">
        <f>IF(J77="Duplex",VLOOKUP(M77,'Características dos Cabos MX'!$C$12:$I$14,6),(IF(J77="Triplex",VLOOKUP(M77,'Características dos Cabos MX'!$C$15:$J$20,6),(IF(J77="Quadruplex",VLOOKUP(M77,'Características dos Cabos MX'!$C$21:$K$27,6),(IF(J77="13",VLOOKUP(M77,'Características dos Cabos MX'!$C$15:$L$20,6),"")))))))</f>
        <v/>
      </c>
      <c r="T77" s="222" t="str">
        <f t="shared" si="18"/>
        <v/>
      </c>
      <c r="U77" s="223" t="str">
        <f>IF(J77="Duplex",VLOOKUP(M77,'Características dos Cabos MX'!$C$12:$I$14,2),(IF(J77="Triplex",VLOOKUP(M77,'Características dos Cabos MX'!$C$15:$J$20,2),(IF(J77="Quadruplex",VLOOKUP(M77,'Características dos Cabos MX'!$C$21:$K$27,2),(IF(J77="13",VLOOKUP(M77,'Características dos Cabos MX'!$C$15:$L$20,2),"")))))))</f>
        <v/>
      </c>
      <c r="V77" s="221" t="str">
        <f>IF(J77="Duplex",VLOOKUP(M77,'Características dos Cabos MX'!$C$12:$I$14,3),(IF(J77="Triplex",VLOOKUP(M77,'Características dos Cabos MX'!$C$15:$J$20,3),(IF(J77="Quadruplex",VLOOKUP(M77,'Características dos Cabos MX'!$C$21:$K$27,3),(IF(J77="13",VLOOKUP(M77,'Características dos Cabos MX'!$C$15:$L$20,3),"")))))))</f>
        <v/>
      </c>
      <c r="W77" s="224" t="str">
        <f t="shared" si="19"/>
        <v/>
      </c>
      <c r="X77" s="224" t="str">
        <f t="shared" si="20"/>
        <v/>
      </c>
      <c r="Y77" s="225" t="str">
        <f t="shared" si="21"/>
        <v/>
      </c>
      <c r="AA77" s="298">
        <f t="shared" si="17"/>
        <v>0</v>
      </c>
      <c r="AB77" s="298">
        <f t="shared" si="2"/>
        <v>0</v>
      </c>
      <c r="AC77" s="284"/>
      <c r="AE77" s="299" t="str">
        <f t="shared" si="13"/>
        <v/>
      </c>
      <c r="AF77" s="334">
        <f t="shared" si="14"/>
        <v>0</v>
      </c>
    </row>
    <row r="78" spans="1:32" ht="15" customHeight="1" x14ac:dyDescent="0.25">
      <c r="A78" s="575"/>
      <c r="B78" s="564"/>
      <c r="C78" s="432"/>
      <c r="D78" s="433"/>
      <c r="E78" s="438"/>
      <c r="F78" s="216" t="str">
        <f t="shared" si="15"/>
        <v/>
      </c>
      <c r="G78" s="451"/>
      <c r="H78" s="217" t="str">
        <f>IF(AND(E78="",G78=""),"",SUM(F78:G85))</f>
        <v/>
      </c>
      <c r="I78" s="218"/>
      <c r="J78" s="259"/>
      <c r="K78" s="259"/>
      <c r="L78" s="226" t="str">
        <f>IF(J78="Duplex",VLOOKUP(M78,'Características dos Cabos MX'!$C$12:$I$14,7),(IF(J78="Triplex",VLOOKUP(M78,'Características dos Cabos MX'!$C$15:$J$20,8),(IF(J78="Quadruplex",VLOOKUP(M78,'Características dos Cabos MX'!$C$21:$K$27,9),(IF(J78="13",VLOOKUP(M78,'Características dos Cabos MX'!$C$15:$L$20,10),"")))))))</f>
        <v/>
      </c>
      <c r="M78" s="410" t="str">
        <f t="shared" si="5"/>
        <v/>
      </c>
      <c r="N78" s="444"/>
      <c r="O78" s="219" t="str">
        <f t="shared" ref="O78:O109" si="23">IF(OR(N78="",L78="",H78=""),"",N78*L78*H78)</f>
        <v/>
      </c>
      <c r="P78" s="220" t="str">
        <f t="shared" si="22"/>
        <v/>
      </c>
      <c r="Q78" s="220" t="str">
        <f t="shared" si="7"/>
        <v/>
      </c>
      <c r="R78" s="221" t="str">
        <f>IF(J78="Duplex",VLOOKUP(M78,'Características dos Cabos MX'!$C$12:$I$14,5),(IF(J78="Triplex",VLOOKUP(M78,'Características dos Cabos MX'!$C$15:$J$20,5),(IF(J78="Quadruplex",VLOOKUP(M78,'Características dos Cabos MX'!$C$21:$K$27,5),(IF(J78="13",VLOOKUP(M78,'Características dos Cabos MX'!$C$15:$L$20,5),"")))))))</f>
        <v/>
      </c>
      <c r="S78" s="221" t="str">
        <f>IF(J78="Duplex",VLOOKUP(M78,'Características dos Cabos MX'!$C$12:$I$14,6),(IF(J78="Triplex",VLOOKUP(M78,'Características dos Cabos MX'!$C$15:$J$20,6),(IF(J78="Quadruplex",VLOOKUP(M78,'Características dos Cabos MX'!$C$21:$K$27,6),(IF(J78="13",VLOOKUP(M78,'Características dos Cabos MX'!$C$15:$L$20,6),"")))))))</f>
        <v/>
      </c>
      <c r="T78" s="222" t="str">
        <f t="shared" si="18"/>
        <v/>
      </c>
      <c r="U78" s="223" t="str">
        <f>IF(J78="Duplex",VLOOKUP(M78,'Características dos Cabos MX'!$C$12:$I$14,2),(IF(J78="Triplex",VLOOKUP(M78,'Características dos Cabos MX'!$C$15:$J$20,2),(IF(J78="Quadruplex",VLOOKUP(M78,'Características dos Cabos MX'!$C$21:$K$27,2),(IF(J78="13",VLOOKUP(M78,'Características dos Cabos MX'!$C$15:$L$20,2),"")))))))</f>
        <v/>
      </c>
      <c r="V78" s="221" t="str">
        <f>IF(J78="Duplex",VLOOKUP(M78,'Características dos Cabos MX'!$C$12:$I$14,3),(IF(J78="Triplex",VLOOKUP(M78,'Características dos Cabos MX'!$C$15:$J$20,3),(IF(J78="Quadruplex",VLOOKUP(M78,'Características dos Cabos MX'!$C$21:$K$27,3),(IF(J78="13",VLOOKUP(M78,'Características dos Cabos MX'!$C$15:$L$20,3),"")))))))</f>
        <v/>
      </c>
      <c r="W78" s="224" t="str">
        <f t="shared" si="19"/>
        <v/>
      </c>
      <c r="X78" s="224" t="str">
        <f t="shared" si="20"/>
        <v/>
      </c>
      <c r="Y78" s="225" t="str">
        <f t="shared" si="21"/>
        <v/>
      </c>
      <c r="AA78" s="298">
        <f t="shared" ref="AA78:AA109" si="24">D78</f>
        <v>0</v>
      </c>
      <c r="AB78" s="298">
        <f t="shared" si="2"/>
        <v>0</v>
      </c>
      <c r="AC78" s="284"/>
      <c r="AE78" s="299" t="str">
        <f t="shared" si="13"/>
        <v/>
      </c>
      <c r="AF78" s="334">
        <f t="shared" si="14"/>
        <v>0</v>
      </c>
    </row>
    <row r="79" spans="1:32" ht="15" customHeight="1" x14ac:dyDescent="0.25">
      <c r="A79" s="575"/>
      <c r="B79" s="564"/>
      <c r="C79" s="432"/>
      <c r="D79" s="433"/>
      <c r="E79" s="438"/>
      <c r="F79" s="216" t="str">
        <f t="shared" si="15"/>
        <v/>
      </c>
      <c r="G79" s="451"/>
      <c r="H79" s="217" t="str">
        <f>IF(AND(E79="",G79=""),"",SUM(F79:G85))</f>
        <v/>
      </c>
      <c r="I79" s="218"/>
      <c r="J79" s="259"/>
      <c r="K79" s="259"/>
      <c r="L79" s="226" t="str">
        <f>IF(J79="Duplex",VLOOKUP(M79,'Características dos Cabos MX'!$C$12:$I$14,7),(IF(J79="Triplex",VLOOKUP(M79,'Características dos Cabos MX'!$C$15:$J$20,8),(IF(J79="Quadruplex",VLOOKUP(M79,'Características dos Cabos MX'!$C$21:$K$27,9),(IF(J79="13",VLOOKUP(M79,'Características dos Cabos MX'!$C$15:$L$20,10),"")))))))</f>
        <v/>
      </c>
      <c r="M79" s="410" t="str">
        <f t="shared" si="5"/>
        <v/>
      </c>
      <c r="N79" s="444"/>
      <c r="O79" s="219" t="str">
        <f t="shared" si="23"/>
        <v/>
      </c>
      <c r="P79" s="220" t="str">
        <f t="shared" si="22"/>
        <v/>
      </c>
      <c r="Q79" s="220" t="str">
        <f t="shared" si="7"/>
        <v/>
      </c>
      <c r="R79" s="221" t="str">
        <f>IF(J79="Duplex",VLOOKUP(M79,'Características dos Cabos MX'!$C$12:$I$14,5),(IF(J79="Triplex",VLOOKUP(M79,'Características dos Cabos MX'!$C$15:$J$20,5),(IF(J79="Quadruplex",VLOOKUP(M79,'Características dos Cabos MX'!$C$21:$K$27,5),(IF(J79="13",VLOOKUP(M79,'Características dos Cabos MX'!$C$15:$L$20,5),"")))))))</f>
        <v/>
      </c>
      <c r="S79" s="221" t="str">
        <f>IF(J79="Duplex",VLOOKUP(M79,'Características dos Cabos MX'!$C$12:$I$14,6),(IF(J79="Triplex",VLOOKUP(M79,'Características dos Cabos MX'!$C$15:$J$20,6),(IF(J79="Quadruplex",VLOOKUP(M79,'Características dos Cabos MX'!$C$21:$K$27,6),(IF(J79="13",VLOOKUP(M79,'Características dos Cabos MX'!$C$15:$L$20,6),"")))))))</f>
        <v/>
      </c>
      <c r="T79" s="222" t="str">
        <f t="shared" si="18"/>
        <v/>
      </c>
      <c r="U79" s="223" t="str">
        <f>IF(J79="Duplex",VLOOKUP(M79,'Características dos Cabos MX'!$C$12:$I$14,2),(IF(J79="Triplex",VLOOKUP(M79,'Características dos Cabos MX'!$C$15:$J$20,2),(IF(J79="Quadruplex",VLOOKUP(M79,'Características dos Cabos MX'!$C$21:$K$27,2),(IF(J79="13",VLOOKUP(M79,'Características dos Cabos MX'!$C$15:$L$20,2),"")))))))</f>
        <v/>
      </c>
      <c r="V79" s="221" t="str">
        <f>IF(J79="Duplex",VLOOKUP(M79,'Características dos Cabos MX'!$C$12:$I$14,3),(IF(J79="Triplex",VLOOKUP(M79,'Características dos Cabos MX'!$C$15:$J$20,3),(IF(J79="Quadruplex",VLOOKUP(M79,'Características dos Cabos MX'!$C$21:$K$27,3),(IF(J79="13",VLOOKUP(M79,'Características dos Cabos MX'!$C$15:$L$20,3),"")))))))</f>
        <v/>
      </c>
      <c r="W79" s="224" t="str">
        <f t="shared" si="19"/>
        <v/>
      </c>
      <c r="X79" s="224" t="str">
        <f t="shared" si="20"/>
        <v/>
      </c>
      <c r="Y79" s="225" t="str">
        <f t="shared" si="21"/>
        <v/>
      </c>
      <c r="AA79" s="298">
        <f t="shared" si="24"/>
        <v>0</v>
      </c>
      <c r="AB79" s="298">
        <f t="shared" si="2"/>
        <v>0</v>
      </c>
      <c r="AC79" s="284"/>
      <c r="AE79" s="299" t="str">
        <f t="shared" si="13"/>
        <v/>
      </c>
      <c r="AF79" s="334">
        <f t="shared" si="14"/>
        <v>0</v>
      </c>
    </row>
    <row r="80" spans="1:32" ht="15" customHeight="1" x14ac:dyDescent="0.25">
      <c r="A80" s="575"/>
      <c r="B80" s="564"/>
      <c r="C80" s="432"/>
      <c r="D80" s="433"/>
      <c r="E80" s="438"/>
      <c r="F80" s="216" t="str">
        <f t="shared" si="15"/>
        <v/>
      </c>
      <c r="G80" s="451"/>
      <c r="H80" s="217" t="str">
        <f>IF(AND(E80="",G80=""),"",SUM(F80:G85))</f>
        <v/>
      </c>
      <c r="I80" s="218"/>
      <c r="J80" s="259"/>
      <c r="K80" s="259"/>
      <c r="L80" s="226" t="str">
        <f>IF(J80="Duplex",VLOOKUP(M80,'Características dos Cabos MX'!$C$12:$I$14,7),(IF(J80="Triplex",VLOOKUP(M80,'Características dos Cabos MX'!$C$15:$J$20,8),(IF(J80="Quadruplex",VLOOKUP(M80,'Características dos Cabos MX'!$C$21:$K$27,9),(IF(J80="13",VLOOKUP(M80,'Características dos Cabos MX'!$C$15:$L$20,10),"")))))))</f>
        <v/>
      </c>
      <c r="M80" s="410" t="str">
        <f t="shared" si="5"/>
        <v/>
      </c>
      <c r="N80" s="444"/>
      <c r="O80" s="219" t="str">
        <f t="shared" si="23"/>
        <v/>
      </c>
      <c r="P80" s="220" t="str">
        <f t="shared" si="22"/>
        <v/>
      </c>
      <c r="Q80" s="220" t="str">
        <f t="shared" si="7"/>
        <v/>
      </c>
      <c r="R80" s="221" t="str">
        <f>IF(J80="Duplex",VLOOKUP(M80,'Características dos Cabos MX'!$C$12:$I$14,5),(IF(J80="Triplex",VLOOKUP(M80,'Características dos Cabos MX'!$C$15:$J$20,5),(IF(J80="Quadruplex",VLOOKUP(M80,'Características dos Cabos MX'!$C$21:$K$27,5),(IF(J80="13",VLOOKUP(M80,'Características dos Cabos MX'!$C$15:$L$20,5),"")))))))</f>
        <v/>
      </c>
      <c r="S80" s="221" t="str">
        <f>IF(J80="Duplex",VLOOKUP(M80,'Características dos Cabos MX'!$C$12:$I$14,6),(IF(J80="Triplex",VLOOKUP(M80,'Características dos Cabos MX'!$C$15:$J$20,6),(IF(J80="Quadruplex",VLOOKUP(M80,'Características dos Cabos MX'!$C$21:$K$27,6),(IF(J80="13",VLOOKUP(M80,'Características dos Cabos MX'!$C$15:$L$20,6),"")))))))</f>
        <v/>
      </c>
      <c r="T80" s="222" t="str">
        <f t="shared" si="18"/>
        <v/>
      </c>
      <c r="U80" s="223" t="str">
        <f>IF(J80="Duplex",VLOOKUP(M80,'Características dos Cabos MX'!$C$12:$I$14,2),(IF(J80="Triplex",VLOOKUP(M80,'Características dos Cabos MX'!$C$15:$J$20,2),(IF(J80="Quadruplex",VLOOKUP(M80,'Características dos Cabos MX'!$C$21:$K$27,2),(IF(J80="13",VLOOKUP(M80,'Características dos Cabos MX'!$C$15:$L$20,2),"")))))))</f>
        <v/>
      </c>
      <c r="V80" s="221" t="str">
        <f>IF(J80="Duplex",VLOOKUP(M80,'Características dos Cabos MX'!$C$12:$I$14,3),(IF(J80="Triplex",VLOOKUP(M80,'Características dos Cabos MX'!$C$15:$J$20,3),(IF(J80="Quadruplex",VLOOKUP(M80,'Características dos Cabos MX'!$C$21:$K$27,3),(IF(J80="13",VLOOKUP(M80,'Características dos Cabos MX'!$C$15:$L$20,3),"")))))))</f>
        <v/>
      </c>
      <c r="W80" s="224" t="str">
        <f t="shared" si="19"/>
        <v/>
      </c>
      <c r="X80" s="224" t="str">
        <f t="shared" si="20"/>
        <v/>
      </c>
      <c r="Y80" s="225" t="str">
        <f t="shared" si="21"/>
        <v/>
      </c>
      <c r="AA80" s="298">
        <f t="shared" si="24"/>
        <v>0</v>
      </c>
      <c r="AB80" s="298">
        <f t="shared" si="2"/>
        <v>0</v>
      </c>
      <c r="AC80" s="284"/>
      <c r="AE80" s="299" t="str">
        <f t="shared" si="13"/>
        <v/>
      </c>
      <c r="AF80" s="334">
        <f t="shared" si="14"/>
        <v>0</v>
      </c>
    </row>
    <row r="81" spans="1:32" ht="15" customHeight="1" x14ac:dyDescent="0.25">
      <c r="A81" s="575"/>
      <c r="B81" s="564"/>
      <c r="C81" s="432"/>
      <c r="D81" s="433"/>
      <c r="E81" s="438"/>
      <c r="F81" s="216" t="str">
        <f t="shared" si="15"/>
        <v/>
      </c>
      <c r="G81" s="451"/>
      <c r="H81" s="217" t="str">
        <f>IF(AND(E81="",G81=""),"",SUM(F81:G85))</f>
        <v/>
      </c>
      <c r="I81" s="218"/>
      <c r="J81" s="259"/>
      <c r="K81" s="259"/>
      <c r="L81" s="226" t="str">
        <f>IF(J81="Duplex",VLOOKUP(M81,'Características dos Cabos MX'!$C$12:$I$14,7),(IF(J81="Triplex",VLOOKUP(M81,'Características dos Cabos MX'!$C$15:$J$20,8),(IF(J81="Quadruplex",VLOOKUP(M81,'Características dos Cabos MX'!$C$21:$K$27,9),(IF(J81="13",VLOOKUP(M81,'Características dos Cabos MX'!$C$15:$L$20,10),"")))))))</f>
        <v/>
      </c>
      <c r="M81" s="410" t="str">
        <f t="shared" si="5"/>
        <v/>
      </c>
      <c r="N81" s="444"/>
      <c r="O81" s="219" t="str">
        <f t="shared" si="23"/>
        <v/>
      </c>
      <c r="P81" s="220" t="str">
        <f t="shared" si="22"/>
        <v/>
      </c>
      <c r="Q81" s="220" t="str">
        <f t="shared" si="7"/>
        <v/>
      </c>
      <c r="R81" s="221" t="str">
        <f>IF(J81="Duplex",VLOOKUP(M81,'Características dos Cabos MX'!$C$12:$I$14,5),(IF(J81="Triplex",VLOOKUP(M81,'Características dos Cabos MX'!$C$15:$J$20,5),(IF(J81="Quadruplex",VLOOKUP(M81,'Características dos Cabos MX'!$C$21:$K$27,5),(IF(J81="13",VLOOKUP(M81,'Características dos Cabos MX'!$C$15:$L$20,5),"")))))))</f>
        <v/>
      </c>
      <c r="S81" s="221" t="str">
        <f>IF(J81="Duplex",VLOOKUP(M81,'Características dos Cabos MX'!$C$12:$I$14,6),(IF(J81="Triplex",VLOOKUP(M81,'Características dos Cabos MX'!$C$15:$J$20,6),(IF(J81="Quadruplex",VLOOKUP(M81,'Características dos Cabos MX'!$C$21:$K$27,6),(IF(J81="13",VLOOKUP(M81,'Características dos Cabos MX'!$C$15:$L$20,6),"")))))))</f>
        <v/>
      </c>
      <c r="T81" s="222" t="str">
        <f t="shared" si="18"/>
        <v/>
      </c>
      <c r="U81" s="223" t="str">
        <f>IF(J81="Duplex",VLOOKUP(M81,'Características dos Cabos MX'!$C$12:$I$14,2),(IF(J81="Triplex",VLOOKUP(M81,'Características dos Cabos MX'!$C$15:$J$20,2),(IF(J81="Quadruplex",VLOOKUP(M81,'Características dos Cabos MX'!$C$21:$K$27,2),(IF(J81="13",VLOOKUP(M81,'Características dos Cabos MX'!$C$15:$L$20,2),"")))))))</f>
        <v/>
      </c>
      <c r="V81" s="221" t="str">
        <f>IF(J81="Duplex",VLOOKUP(M81,'Características dos Cabos MX'!$C$12:$I$14,3),(IF(J81="Triplex",VLOOKUP(M81,'Características dos Cabos MX'!$C$15:$J$20,3),(IF(J81="Quadruplex",VLOOKUP(M81,'Características dos Cabos MX'!$C$21:$K$27,3),(IF(J81="13",VLOOKUP(M81,'Características dos Cabos MX'!$C$15:$L$20,3),"")))))))</f>
        <v/>
      </c>
      <c r="W81" s="224" t="str">
        <f t="shared" si="19"/>
        <v/>
      </c>
      <c r="X81" s="224" t="str">
        <f t="shared" si="20"/>
        <v/>
      </c>
      <c r="Y81" s="225" t="str">
        <f t="shared" si="21"/>
        <v/>
      </c>
      <c r="AA81" s="298">
        <f t="shared" si="24"/>
        <v>0</v>
      </c>
      <c r="AB81" s="298">
        <f t="shared" si="2"/>
        <v>0</v>
      </c>
      <c r="AC81" s="284"/>
      <c r="AE81" s="299" t="str">
        <f t="shared" si="13"/>
        <v/>
      </c>
      <c r="AF81" s="334">
        <f t="shared" si="14"/>
        <v>0</v>
      </c>
    </row>
    <row r="82" spans="1:32" ht="15" customHeight="1" x14ac:dyDescent="0.25">
      <c r="A82" s="575"/>
      <c r="B82" s="564"/>
      <c r="C82" s="432"/>
      <c r="D82" s="433"/>
      <c r="E82" s="438"/>
      <c r="F82" s="216" t="str">
        <f t="shared" si="15"/>
        <v/>
      </c>
      <c r="G82" s="451"/>
      <c r="H82" s="217" t="str">
        <f>IF(AND(E82="",G82=""),"",SUM(F82:G85))</f>
        <v/>
      </c>
      <c r="I82" s="218"/>
      <c r="J82" s="259"/>
      <c r="K82" s="259"/>
      <c r="L82" s="226" t="str">
        <f>IF(J82="Duplex",VLOOKUP(M82,'Características dos Cabos MX'!$C$12:$I$14,7),(IF(J82="Triplex",VLOOKUP(M82,'Características dos Cabos MX'!$C$15:$J$20,8),(IF(J82="Quadruplex",VLOOKUP(M82,'Características dos Cabos MX'!$C$21:$K$27,9),(IF(J82="13",VLOOKUP(M82,'Características dos Cabos MX'!$C$15:$L$20,10),"")))))))</f>
        <v/>
      </c>
      <c r="M82" s="410" t="str">
        <f t="shared" si="5"/>
        <v/>
      </c>
      <c r="N82" s="444"/>
      <c r="O82" s="219" t="str">
        <f t="shared" si="23"/>
        <v/>
      </c>
      <c r="P82" s="220" t="str">
        <f t="shared" si="22"/>
        <v/>
      </c>
      <c r="Q82" s="220" t="str">
        <f t="shared" si="7"/>
        <v/>
      </c>
      <c r="R82" s="221" t="str">
        <f>IF(J82="Duplex",VLOOKUP(M82,'Características dos Cabos MX'!$C$12:$I$14,5),(IF(J82="Triplex",VLOOKUP(M82,'Características dos Cabos MX'!$C$15:$J$20,5),(IF(J82="Quadruplex",VLOOKUP(M82,'Características dos Cabos MX'!$C$21:$K$27,5),(IF(J82="13",VLOOKUP(M82,'Características dos Cabos MX'!$C$15:$L$20,5),"")))))))</f>
        <v/>
      </c>
      <c r="S82" s="221" t="str">
        <f>IF(J82="Duplex",VLOOKUP(M82,'Características dos Cabos MX'!$C$12:$I$14,6),(IF(J82="Triplex",VLOOKUP(M82,'Características dos Cabos MX'!$C$15:$J$20,6),(IF(J82="Quadruplex",VLOOKUP(M82,'Características dos Cabos MX'!$C$21:$K$27,6),(IF(J82="13",VLOOKUP(M82,'Características dos Cabos MX'!$C$15:$L$20,6),"")))))))</f>
        <v/>
      </c>
      <c r="T82" s="222" t="str">
        <f t="shared" si="18"/>
        <v/>
      </c>
      <c r="U82" s="223" t="str">
        <f>IF(J82="Duplex",VLOOKUP(M82,'Características dos Cabos MX'!$C$12:$I$14,2),(IF(J82="Triplex",VLOOKUP(M82,'Características dos Cabos MX'!$C$15:$J$20,2),(IF(J82="Quadruplex",VLOOKUP(M82,'Características dos Cabos MX'!$C$21:$K$27,2),(IF(J82="13",VLOOKUP(M82,'Características dos Cabos MX'!$C$15:$L$20,2),"")))))))</f>
        <v/>
      </c>
      <c r="V82" s="221" t="str">
        <f>IF(J82="Duplex",VLOOKUP(M82,'Características dos Cabos MX'!$C$12:$I$14,3),(IF(J82="Triplex",VLOOKUP(M82,'Características dos Cabos MX'!$C$15:$J$20,3),(IF(J82="Quadruplex",VLOOKUP(M82,'Características dos Cabos MX'!$C$21:$K$27,3),(IF(J82="13",VLOOKUP(M82,'Características dos Cabos MX'!$C$15:$L$20,3),"")))))))</f>
        <v/>
      </c>
      <c r="W82" s="224" t="str">
        <f t="shared" si="19"/>
        <v/>
      </c>
      <c r="X82" s="224" t="str">
        <f t="shared" si="20"/>
        <v/>
      </c>
      <c r="Y82" s="225" t="str">
        <f t="shared" si="21"/>
        <v/>
      </c>
      <c r="AA82" s="298">
        <f t="shared" si="24"/>
        <v>0</v>
      </c>
      <c r="AB82" s="298">
        <f t="shared" si="2"/>
        <v>0</v>
      </c>
      <c r="AC82" s="284"/>
      <c r="AE82" s="299" t="str">
        <f t="shared" si="13"/>
        <v/>
      </c>
      <c r="AF82" s="334">
        <f t="shared" si="14"/>
        <v>0</v>
      </c>
    </row>
    <row r="83" spans="1:32" ht="15" customHeight="1" x14ac:dyDescent="0.25">
      <c r="A83" s="575"/>
      <c r="B83" s="564"/>
      <c r="C83" s="432"/>
      <c r="D83" s="433"/>
      <c r="E83" s="438"/>
      <c r="F83" s="216" t="str">
        <f t="shared" si="15"/>
        <v/>
      </c>
      <c r="G83" s="451"/>
      <c r="H83" s="217" t="str">
        <f>IF(AND(E83="",G83=""),"",SUM(F83:G85))</f>
        <v/>
      </c>
      <c r="I83" s="218"/>
      <c r="J83" s="259"/>
      <c r="K83" s="259"/>
      <c r="L83" s="226" t="str">
        <f>IF(J83="Duplex",VLOOKUP(M83,'Características dos Cabos MX'!$C$12:$I$14,7),(IF(J83="Triplex",VLOOKUP(M83,'Características dos Cabos MX'!$C$15:$J$20,8),(IF(J83="Quadruplex",VLOOKUP(M83,'Características dos Cabos MX'!$C$21:$K$27,9),(IF(J83="13",VLOOKUP(M83,'Características dos Cabos MX'!$C$15:$L$20,10),"")))))))</f>
        <v/>
      </c>
      <c r="M83" s="410" t="str">
        <f t="shared" si="5"/>
        <v/>
      </c>
      <c r="N83" s="444"/>
      <c r="O83" s="219" t="str">
        <f t="shared" si="23"/>
        <v/>
      </c>
      <c r="P83" s="220" t="str">
        <f t="shared" si="22"/>
        <v/>
      </c>
      <c r="Q83" s="220" t="str">
        <f t="shared" si="7"/>
        <v/>
      </c>
      <c r="R83" s="221" t="str">
        <f>IF(J83="Duplex",VLOOKUP(M83,'Características dos Cabos MX'!$C$12:$I$14,5),(IF(J83="Triplex",VLOOKUP(M83,'Características dos Cabos MX'!$C$15:$J$20,5),(IF(J83="Quadruplex",VLOOKUP(M83,'Características dos Cabos MX'!$C$21:$K$27,5),(IF(J83="13",VLOOKUP(M83,'Características dos Cabos MX'!$C$15:$L$20,5),"")))))))</f>
        <v/>
      </c>
      <c r="S83" s="221" t="str">
        <f>IF(J83="Duplex",VLOOKUP(M83,'Características dos Cabos MX'!$C$12:$I$14,6),(IF(J83="Triplex",VLOOKUP(M83,'Características dos Cabos MX'!$C$15:$J$20,6),(IF(J83="Quadruplex",VLOOKUP(M83,'Características dos Cabos MX'!$C$21:$K$27,6),(IF(J83="13",VLOOKUP(M83,'Características dos Cabos MX'!$C$15:$L$20,6),"")))))))</f>
        <v/>
      </c>
      <c r="T83" s="222" t="str">
        <f t="shared" si="18"/>
        <v/>
      </c>
      <c r="U83" s="223" t="str">
        <f>IF(J83="Duplex",VLOOKUP(M83,'Características dos Cabos MX'!$C$12:$I$14,2),(IF(J83="Triplex",VLOOKUP(M83,'Características dos Cabos MX'!$C$15:$J$20,2),(IF(J83="Quadruplex",VLOOKUP(M83,'Características dos Cabos MX'!$C$21:$K$27,2),(IF(J83="13",VLOOKUP(M83,'Características dos Cabos MX'!$C$15:$L$20,2),"")))))))</f>
        <v/>
      </c>
      <c r="V83" s="221" t="str">
        <f>IF(J83="Duplex",VLOOKUP(M83,'Características dos Cabos MX'!$C$12:$I$14,3),(IF(J83="Triplex",VLOOKUP(M83,'Características dos Cabos MX'!$C$15:$J$20,3),(IF(J83="Quadruplex",VLOOKUP(M83,'Características dos Cabos MX'!$C$21:$K$27,3),(IF(J83="13",VLOOKUP(M83,'Características dos Cabos MX'!$C$15:$L$20,3),"")))))))</f>
        <v/>
      </c>
      <c r="W83" s="224" t="str">
        <f t="shared" si="19"/>
        <v/>
      </c>
      <c r="X83" s="224" t="str">
        <f t="shared" si="20"/>
        <v/>
      </c>
      <c r="Y83" s="225" t="str">
        <f t="shared" si="21"/>
        <v/>
      </c>
      <c r="AA83" s="298">
        <f t="shared" si="24"/>
        <v>0</v>
      </c>
      <c r="AB83" s="298">
        <f t="shared" si="2"/>
        <v>0</v>
      </c>
      <c r="AC83" s="284"/>
      <c r="AE83" s="299" t="str">
        <f t="shared" si="13"/>
        <v/>
      </c>
      <c r="AF83" s="334">
        <f t="shared" si="14"/>
        <v>0</v>
      </c>
    </row>
    <row r="84" spans="1:32" ht="15" customHeight="1" x14ac:dyDescent="0.25">
      <c r="A84" s="575"/>
      <c r="B84" s="564"/>
      <c r="C84" s="432"/>
      <c r="D84" s="433"/>
      <c r="E84" s="438"/>
      <c r="F84" s="216" t="str">
        <f t="shared" si="15"/>
        <v/>
      </c>
      <c r="G84" s="451"/>
      <c r="H84" s="217" t="str">
        <f>IF(AND(E84="",G84=""),"",SUM(F84:G85))</f>
        <v/>
      </c>
      <c r="I84" s="218"/>
      <c r="J84" s="259"/>
      <c r="K84" s="259"/>
      <c r="L84" s="226" t="str">
        <f>IF(J84="Duplex",VLOOKUP(M84,'Características dos Cabos MX'!$C$12:$I$14,7),(IF(J84="Triplex",VLOOKUP(M84,'Características dos Cabos MX'!$C$15:$J$20,8),(IF(J84="Quadruplex",VLOOKUP(M84,'Características dos Cabos MX'!$C$21:$K$27,9),(IF(J84="13",VLOOKUP(M84,'Características dos Cabos MX'!$C$15:$L$20,10),"")))))))</f>
        <v/>
      </c>
      <c r="M84" s="410" t="str">
        <f t="shared" si="5"/>
        <v/>
      </c>
      <c r="N84" s="444"/>
      <c r="O84" s="219" t="str">
        <f t="shared" si="23"/>
        <v/>
      </c>
      <c r="P84" s="220" t="str">
        <f t="shared" si="22"/>
        <v/>
      </c>
      <c r="Q84" s="220" t="str">
        <f t="shared" si="7"/>
        <v/>
      </c>
      <c r="R84" s="221" t="str">
        <f>IF(J84="Duplex",VLOOKUP(M84,'Características dos Cabos MX'!$C$12:$I$14,5),(IF(J84="Triplex",VLOOKUP(M84,'Características dos Cabos MX'!$C$15:$J$20,5),(IF(J84="Quadruplex",VLOOKUP(M84,'Características dos Cabos MX'!$C$21:$K$27,5),(IF(J84="13",VLOOKUP(M84,'Características dos Cabos MX'!$C$15:$L$20,5),"")))))))</f>
        <v/>
      </c>
      <c r="S84" s="221" t="str">
        <f>IF(J84="Duplex",VLOOKUP(M84,'Características dos Cabos MX'!$C$12:$I$14,6),(IF(J84="Triplex",VLOOKUP(M84,'Características dos Cabos MX'!$C$15:$J$20,6),(IF(J84="Quadruplex",VLOOKUP(M84,'Características dos Cabos MX'!$C$21:$K$27,6),(IF(J84="13",VLOOKUP(M84,'Características dos Cabos MX'!$C$15:$L$20,6),"")))))))</f>
        <v/>
      </c>
      <c r="T84" s="222" t="str">
        <f t="shared" si="18"/>
        <v/>
      </c>
      <c r="U84" s="223" t="str">
        <f>IF(J84="Duplex",VLOOKUP(M84,'Características dos Cabos MX'!$C$12:$I$14,2),(IF(J84="Triplex",VLOOKUP(M84,'Características dos Cabos MX'!$C$15:$J$20,2),(IF(J84="Quadruplex",VLOOKUP(M84,'Características dos Cabos MX'!$C$21:$K$27,2),(IF(J84="13",VLOOKUP(M84,'Características dos Cabos MX'!$C$15:$L$20,2),"")))))))</f>
        <v/>
      </c>
      <c r="V84" s="221" t="str">
        <f>IF(J84="Duplex",VLOOKUP(M84,'Características dos Cabos MX'!$C$12:$I$14,3),(IF(J84="Triplex",VLOOKUP(M84,'Características dos Cabos MX'!$C$15:$J$20,3),(IF(J84="Quadruplex",VLOOKUP(M84,'Características dos Cabos MX'!$C$21:$K$27,3),(IF(J84="13",VLOOKUP(M84,'Características dos Cabos MX'!$C$15:$L$20,3),"")))))))</f>
        <v/>
      </c>
      <c r="W84" s="224" t="str">
        <f t="shared" si="19"/>
        <v/>
      </c>
      <c r="X84" s="224" t="str">
        <f t="shared" si="20"/>
        <v/>
      </c>
      <c r="Y84" s="225" t="str">
        <f t="shared" si="21"/>
        <v/>
      </c>
      <c r="AA84" s="298">
        <f t="shared" si="24"/>
        <v>0</v>
      </c>
      <c r="AB84" s="298">
        <f t="shared" si="2"/>
        <v>0</v>
      </c>
      <c r="AC84" s="284"/>
      <c r="AE84" s="299" t="str">
        <f t="shared" si="13"/>
        <v/>
      </c>
      <c r="AF84" s="334">
        <f t="shared" si="14"/>
        <v>0</v>
      </c>
    </row>
    <row r="85" spans="1:32" ht="15" customHeight="1" thickBot="1" x14ac:dyDescent="0.3">
      <c r="A85" s="575"/>
      <c r="B85" s="565"/>
      <c r="C85" s="434"/>
      <c r="D85" s="435"/>
      <c r="E85" s="434"/>
      <c r="F85" s="228" t="str">
        <f t="shared" si="15"/>
        <v/>
      </c>
      <c r="G85" s="452"/>
      <c r="H85" s="229" t="str">
        <f>IF(AND(E85="",G85=""),"",SUM(F85:G85))</f>
        <v/>
      </c>
      <c r="I85" s="230"/>
      <c r="J85" s="260"/>
      <c r="K85" s="260"/>
      <c r="L85" s="231" t="str">
        <f>IF(J85="Duplex",VLOOKUP(M85,'Características dos Cabos MX'!$C$12:$I$14,7),(IF(J85="Triplex",VLOOKUP(M85,'Características dos Cabos MX'!$C$15:$J$20,8),(IF(J85="Quadruplex",VLOOKUP(M85,'Características dos Cabos MX'!$C$21:$K$27,9),(IF(J85="13",VLOOKUP(M85,'Características dos Cabos MX'!$C$15:$L$20,10),"")))))))</f>
        <v/>
      </c>
      <c r="M85" s="412" t="str">
        <f t="shared" si="5"/>
        <v/>
      </c>
      <c r="N85" s="445"/>
      <c r="O85" s="232" t="str">
        <f t="shared" si="23"/>
        <v/>
      </c>
      <c r="P85" s="233" t="str">
        <f t="shared" si="22"/>
        <v/>
      </c>
      <c r="Q85" s="233" t="str">
        <f t="shared" si="7"/>
        <v/>
      </c>
      <c r="R85" s="234" t="str">
        <f>IF(J85="Duplex",VLOOKUP(M85,'Características dos Cabos MX'!$C$12:$I$14,5),(IF(J85="Triplex",VLOOKUP(M85,'Características dos Cabos MX'!$C$15:$J$20,5),(IF(J85="Quadruplex",VLOOKUP(M85,'Características dos Cabos MX'!$C$21:$K$27,5),(IF(J85="13",VLOOKUP(M85,'Características dos Cabos MX'!$C$15:$L$20,5),"")))))))</f>
        <v/>
      </c>
      <c r="S85" s="234" t="str">
        <f>IF(J85="Duplex",VLOOKUP(M85,'Características dos Cabos MX'!$C$12:$I$14,6),(IF(J85="Triplex",VLOOKUP(M85,'Características dos Cabos MX'!$C$15:$J$20,6),(IF(J85="Quadruplex",VLOOKUP(M85,'Características dos Cabos MX'!$C$21:$K$27,6),(IF(J85="13",VLOOKUP(M85,'Características dos Cabos MX'!$C$15:$L$20,6),"")))))))</f>
        <v/>
      </c>
      <c r="T85" s="235" t="str">
        <f t="shared" si="18"/>
        <v/>
      </c>
      <c r="U85" s="236" t="str">
        <f>IF(J85="Duplex",VLOOKUP(M85,'Características dos Cabos MX'!$C$12:$I$14,2),(IF(J85="Triplex",VLOOKUP(M85,'Características dos Cabos MX'!$C$15:$J$20,2),(IF(J85="Quadruplex",VLOOKUP(M85,'Características dos Cabos MX'!$C$21:$K$27,2),(IF(J85="13",VLOOKUP(M85,'Características dos Cabos MX'!$C$15:$L$20,2),"")))))))</f>
        <v/>
      </c>
      <c r="V85" s="234" t="str">
        <f>IF(J85="Duplex",VLOOKUP(M85,'Características dos Cabos MX'!$C$12:$I$14,3),(IF(J85="Triplex",VLOOKUP(M85,'Características dos Cabos MX'!$C$15:$J$20,3),(IF(J85="Quadruplex",VLOOKUP(M85,'Características dos Cabos MX'!$C$21:$K$27,3),(IF(J85="13",VLOOKUP(M85,'Características dos Cabos MX'!$C$15:$L$20,3),"")))))))</f>
        <v/>
      </c>
      <c r="W85" s="237" t="str">
        <f t="shared" si="19"/>
        <v/>
      </c>
      <c r="X85" s="237" t="str">
        <f t="shared" si="20"/>
        <v/>
      </c>
      <c r="Y85" s="238" t="str">
        <f t="shared" si="21"/>
        <v/>
      </c>
      <c r="AA85" s="298">
        <f t="shared" si="24"/>
        <v>0</v>
      </c>
      <c r="AB85" s="298">
        <f t="shared" si="2"/>
        <v>0</v>
      </c>
      <c r="AC85" s="284"/>
      <c r="AE85" s="299" t="str">
        <f t="shared" si="13"/>
        <v/>
      </c>
      <c r="AF85" s="334">
        <f t="shared" si="14"/>
        <v>0</v>
      </c>
    </row>
    <row r="86" spans="1:32" ht="15" customHeight="1" thickTop="1" x14ac:dyDescent="0.25">
      <c r="A86" s="575"/>
      <c r="B86" s="563" t="str">
        <f>CONCATENATE("Ramal 5 - Derivando no ponto ",C86)</f>
        <v xml:space="preserve">Ramal 5 - Derivando no ponto </v>
      </c>
      <c r="C86" s="431"/>
      <c r="D86" s="436"/>
      <c r="E86" s="440"/>
      <c r="F86" s="239" t="str">
        <f t="shared" si="15"/>
        <v/>
      </c>
      <c r="G86" s="453"/>
      <c r="H86" s="240" t="str">
        <f>IF(AND(E86="",G86=""),"",SUM(F86:G95))</f>
        <v/>
      </c>
      <c r="I86" s="241"/>
      <c r="J86" s="262"/>
      <c r="K86" s="262"/>
      <c r="L86" s="242" t="str">
        <f>IF(J86="Duplex",VLOOKUP(M86,'Características dos Cabos MX'!$C$12:$I$14,7),(IF(J86="Triplex",VLOOKUP(M86,'Características dos Cabos MX'!$C$15:$J$20,8),(IF(J86="Quadruplex",VLOOKUP(M86,'Características dos Cabos MX'!$C$21:$K$27,9),(IF(J86="13",VLOOKUP(M86,'Características dos Cabos MX'!$C$15:$L$20,10),"")))))))</f>
        <v/>
      </c>
      <c r="M86" s="413" t="str">
        <f t="shared" si="5"/>
        <v/>
      </c>
      <c r="N86" s="446"/>
      <c r="O86" s="243" t="str">
        <f t="shared" si="23"/>
        <v/>
      </c>
      <c r="P86" s="244" t="str">
        <f>IF(O86="","",O86+VLOOKUP(C86,$D$20:$Q$86,13,FALSE))</f>
        <v/>
      </c>
      <c r="Q86" s="244" t="str">
        <f t="shared" si="7"/>
        <v/>
      </c>
      <c r="R86" s="245" t="str">
        <f>IF(J86="Duplex",VLOOKUP(M86,'Características dos Cabos MX'!$C$12:$I$14,5),(IF(J86="Triplex",VLOOKUP(M86,'Características dos Cabos MX'!$C$15:$J$20,5),(IF(J86="Quadruplex",VLOOKUP(M86,'Características dos Cabos MX'!$C$21:$K$27,5),(IF(J86="13",VLOOKUP(M86,'Características dos Cabos MX'!$C$15:$L$20,5),"")))))))</f>
        <v/>
      </c>
      <c r="S86" s="245" t="str">
        <f>IF(J86="Duplex",VLOOKUP(M86,'Características dos Cabos MX'!$C$12:$I$14,6),(IF(J86="Triplex",VLOOKUP(M86,'Características dos Cabos MX'!$C$15:$J$20,6),(IF(J86="Quadruplex",VLOOKUP(M86,'Características dos Cabos MX'!$C$21:$K$27,6),(IF(J86="13",VLOOKUP(M86,'Características dos Cabos MX'!$C$15:$L$20,6),"")))))))</f>
        <v/>
      </c>
      <c r="T86" s="246" t="str">
        <f t="shared" si="18"/>
        <v/>
      </c>
      <c r="U86" s="247" t="str">
        <f>IF(J86="Duplex",VLOOKUP(M86,'Características dos Cabos MX'!$C$12:$I$14,2),(IF(J86="Triplex",VLOOKUP(M86,'Características dos Cabos MX'!$C$15:$J$20,2),(IF(J86="Quadruplex",VLOOKUP(M86,'Características dos Cabos MX'!$C$21:$K$27,2),(IF(J86="13",VLOOKUP(M86,'Características dos Cabos MX'!$C$15:$L$20,2),"")))))))</f>
        <v/>
      </c>
      <c r="V86" s="245" t="str">
        <f>IF(J86="Duplex",VLOOKUP(M86,'Características dos Cabos MX'!$C$12:$I$14,3),(IF(J86="Triplex",VLOOKUP(M86,'Características dos Cabos MX'!$C$15:$J$20,3),(IF(J86="Quadruplex",VLOOKUP(M86,'Características dos Cabos MX'!$C$21:$K$27,3),(IF(J86="13",VLOOKUP(M86,'Características dos Cabos MX'!$C$15:$L$20,3),"")))))))</f>
        <v/>
      </c>
      <c r="W86" s="248" t="str">
        <f t="shared" si="19"/>
        <v/>
      </c>
      <c r="X86" s="248" t="str">
        <f t="shared" si="20"/>
        <v/>
      </c>
      <c r="Y86" s="249" t="str">
        <f t="shared" si="21"/>
        <v/>
      </c>
      <c r="Z86" s="121" t="str">
        <f>IF(O86="","",O86+VLOOKUP(C86,$D$20:$P$44,13,FALSE))</f>
        <v/>
      </c>
      <c r="AA86" s="298">
        <f t="shared" si="24"/>
        <v>0</v>
      </c>
      <c r="AB86" s="298">
        <f t="shared" si="2"/>
        <v>0</v>
      </c>
      <c r="AC86" s="284"/>
      <c r="AE86" s="299" t="str">
        <f t="shared" si="13"/>
        <v/>
      </c>
      <c r="AF86" s="334">
        <f t="shared" si="14"/>
        <v>0</v>
      </c>
    </row>
    <row r="87" spans="1:32" ht="15" customHeight="1" x14ac:dyDescent="0.25">
      <c r="A87" s="575"/>
      <c r="B87" s="564"/>
      <c r="C87" s="432"/>
      <c r="D87" s="433"/>
      <c r="E87" s="438"/>
      <c r="F87" s="216" t="str">
        <f t="shared" si="15"/>
        <v/>
      </c>
      <c r="G87" s="451"/>
      <c r="H87" s="217" t="str">
        <f>IF(AND(E87="",G87=""),"",SUM(F87:G95))</f>
        <v/>
      </c>
      <c r="I87" s="218"/>
      <c r="J87" s="259"/>
      <c r="K87" s="259"/>
      <c r="L87" s="226" t="str">
        <f>IF(J87="Duplex",VLOOKUP(M87,'Características dos Cabos MX'!$C$12:$I$14,7),(IF(J87="Triplex",VLOOKUP(M87,'Características dos Cabos MX'!$C$15:$J$20,8),(IF(J87="Quadruplex",VLOOKUP(M87,'Características dos Cabos MX'!$C$21:$K$27,9),(IF(J87="13",VLOOKUP(M87,'Características dos Cabos MX'!$C$15:$L$20,10),"")))))))</f>
        <v/>
      </c>
      <c r="M87" s="410" t="str">
        <f t="shared" ref="M87:M150" si="25">IF(K87=10,"a",IF(K87=16,"b",IF(K87=25,"c",IF(K87=35,"d",IF(K87=50,"e",(IF(K87=70,"f",(IF(K87=120,"g","")))))))))</f>
        <v/>
      </c>
      <c r="N87" s="444"/>
      <c r="O87" s="219" t="str">
        <f t="shared" si="23"/>
        <v/>
      </c>
      <c r="P87" s="220" t="str">
        <f t="shared" si="22"/>
        <v/>
      </c>
      <c r="Q87" s="220" t="str">
        <f t="shared" ref="Q87:Q150" si="26">IF(H87="","",IF(J87="Quadruplex",H87*1000/($D$13*SQRT(3)),IF(J87="Triplex",H87*1000*SQRT(3)/($D$13*2),IF(J87="Duplex",H87*1000*SQRT(3)/$D$13,IF(J87="13",H87*1000/$D$15,IF(J87="12",H87*1000*2/$D$15,"erro"))))))</f>
        <v/>
      </c>
      <c r="R87" s="221" t="str">
        <f>IF(J87="Duplex",VLOOKUP(M87,'Características dos Cabos MX'!$C$12:$I$14,5),(IF(J87="Triplex",VLOOKUP(M87,'Características dos Cabos MX'!$C$15:$J$20,5),(IF(J87="Quadruplex",VLOOKUP(M87,'Características dos Cabos MX'!$C$21:$K$27,5),(IF(J87="13",VLOOKUP(M87,'Características dos Cabos MX'!$C$15:$L$20,5),"")))))))</f>
        <v/>
      </c>
      <c r="S87" s="221" t="str">
        <f>IF(J87="Duplex",VLOOKUP(M87,'Características dos Cabos MX'!$C$12:$I$14,6),(IF(J87="Triplex",VLOOKUP(M87,'Características dos Cabos MX'!$C$15:$J$20,6),(IF(J87="Quadruplex",VLOOKUP(M87,'Características dos Cabos MX'!$C$21:$K$27,6),(IF(J87="13",VLOOKUP(M87,'Características dos Cabos MX'!$C$15:$L$20,6),"")))))))</f>
        <v/>
      </c>
      <c r="T87" s="222" t="str">
        <f t="shared" si="18"/>
        <v/>
      </c>
      <c r="U87" s="223" t="str">
        <f>IF(J87="Duplex",VLOOKUP(M87,'Características dos Cabos MX'!$C$12:$I$14,2),(IF(J87="Triplex",VLOOKUP(M87,'Características dos Cabos MX'!$C$15:$J$20,2),(IF(J87="Quadruplex",VLOOKUP(M87,'Características dos Cabos MX'!$C$21:$K$27,2),(IF(J87="13",VLOOKUP(M87,'Características dos Cabos MX'!$C$15:$L$20,2),"")))))))</f>
        <v/>
      </c>
      <c r="V87" s="221" t="str">
        <f>IF(J87="Duplex",VLOOKUP(M87,'Características dos Cabos MX'!$C$12:$I$14,3),(IF(J87="Triplex",VLOOKUP(M87,'Características dos Cabos MX'!$C$15:$J$20,3),(IF(J87="Quadruplex",VLOOKUP(M87,'Características dos Cabos MX'!$C$21:$K$27,3),(IF(J87="13",VLOOKUP(M87,'Características dos Cabos MX'!$C$15:$L$20,3),"")))))))</f>
        <v/>
      </c>
      <c r="W87" s="224" t="str">
        <f t="shared" si="19"/>
        <v/>
      </c>
      <c r="X87" s="224" t="str">
        <f t="shared" si="20"/>
        <v/>
      </c>
      <c r="Y87" s="225" t="str">
        <f t="shared" si="21"/>
        <v/>
      </c>
      <c r="AA87" s="298">
        <f t="shared" si="24"/>
        <v>0</v>
      </c>
      <c r="AB87" s="298">
        <f t="shared" ref="AB87:AB125" si="27">K87</f>
        <v>0</v>
      </c>
      <c r="AC87" s="284"/>
      <c r="AE87" s="299" t="str">
        <f t="shared" si="13"/>
        <v/>
      </c>
      <c r="AF87" s="334">
        <f t="shared" si="14"/>
        <v>0</v>
      </c>
    </row>
    <row r="88" spans="1:32" ht="15" customHeight="1" x14ac:dyDescent="0.25">
      <c r="A88" s="575"/>
      <c r="B88" s="564"/>
      <c r="C88" s="432"/>
      <c r="D88" s="433"/>
      <c r="E88" s="438"/>
      <c r="F88" s="216" t="str">
        <f t="shared" si="15"/>
        <v/>
      </c>
      <c r="G88" s="451"/>
      <c r="H88" s="217" t="str">
        <f>IF(AND(E88="",G88=""),"",SUM(F88:G95))</f>
        <v/>
      </c>
      <c r="I88" s="218"/>
      <c r="J88" s="259"/>
      <c r="K88" s="259"/>
      <c r="L88" s="226" t="str">
        <f>IF(J88="Duplex",VLOOKUP(M88,'Características dos Cabos MX'!$C$12:$I$14,7),(IF(J88="Triplex",VLOOKUP(M88,'Características dos Cabos MX'!$C$15:$J$20,8),(IF(J88="Quadruplex",VLOOKUP(M88,'Características dos Cabos MX'!$C$21:$K$27,9),(IF(J88="13",VLOOKUP(M88,'Características dos Cabos MX'!$C$15:$L$20,10),"")))))))</f>
        <v/>
      </c>
      <c r="M88" s="410" t="str">
        <f t="shared" si="25"/>
        <v/>
      </c>
      <c r="N88" s="444"/>
      <c r="O88" s="219" t="str">
        <f t="shared" si="23"/>
        <v/>
      </c>
      <c r="P88" s="220" t="str">
        <f t="shared" si="22"/>
        <v/>
      </c>
      <c r="Q88" s="220" t="str">
        <f t="shared" si="26"/>
        <v/>
      </c>
      <c r="R88" s="221" t="str">
        <f>IF(J88="Duplex",VLOOKUP(M88,'Características dos Cabos MX'!$C$12:$I$14,5),(IF(J88="Triplex",VLOOKUP(M88,'Características dos Cabos MX'!$C$15:$J$20,5),(IF(J88="Quadruplex",VLOOKUP(M88,'Características dos Cabos MX'!$C$21:$K$27,5),(IF(J88="13",VLOOKUP(M88,'Características dos Cabos MX'!$C$15:$L$20,5),"")))))))</f>
        <v/>
      </c>
      <c r="S88" s="221" t="str">
        <f>IF(J88="Duplex",VLOOKUP(M88,'Características dos Cabos MX'!$C$12:$I$14,6),(IF(J88="Triplex",VLOOKUP(M88,'Características dos Cabos MX'!$C$15:$J$20,6),(IF(J88="Quadruplex",VLOOKUP(M88,'Características dos Cabos MX'!$C$21:$K$27,6),(IF(J88="13",VLOOKUP(M88,'Características dos Cabos MX'!$C$15:$L$20,6),"")))))))</f>
        <v/>
      </c>
      <c r="T88" s="222" t="str">
        <f t="shared" si="18"/>
        <v/>
      </c>
      <c r="U88" s="223" t="str">
        <f>IF(J88="Duplex",VLOOKUP(M88,'Características dos Cabos MX'!$C$12:$I$14,2),(IF(J88="Triplex",VLOOKUP(M88,'Características dos Cabos MX'!$C$15:$J$20,2),(IF(J88="Quadruplex",VLOOKUP(M88,'Características dos Cabos MX'!$C$21:$K$27,2),(IF(J88="13",VLOOKUP(M88,'Características dos Cabos MX'!$C$15:$L$20,2),"")))))))</f>
        <v/>
      </c>
      <c r="V88" s="221" t="str">
        <f>IF(J88="Duplex",VLOOKUP(M88,'Características dos Cabos MX'!$C$12:$I$14,3),(IF(J88="Triplex",VLOOKUP(M88,'Características dos Cabos MX'!$C$15:$J$20,3),(IF(J88="Quadruplex",VLOOKUP(M88,'Características dos Cabos MX'!$C$21:$K$27,3),(IF(J88="13",VLOOKUP(M88,'Características dos Cabos MX'!$C$15:$L$20,3),"")))))))</f>
        <v/>
      </c>
      <c r="W88" s="224" t="str">
        <f t="shared" si="19"/>
        <v/>
      </c>
      <c r="X88" s="224" t="str">
        <f t="shared" si="20"/>
        <v/>
      </c>
      <c r="Y88" s="225" t="str">
        <f t="shared" si="21"/>
        <v/>
      </c>
      <c r="AA88" s="298">
        <f t="shared" si="24"/>
        <v>0</v>
      </c>
      <c r="AB88" s="298">
        <f t="shared" si="27"/>
        <v>0</v>
      </c>
      <c r="AC88" s="284"/>
      <c r="AE88" s="299" t="str">
        <f t="shared" si="13"/>
        <v/>
      </c>
      <c r="AF88" s="334">
        <f t="shared" si="14"/>
        <v>0</v>
      </c>
    </row>
    <row r="89" spans="1:32" ht="15" customHeight="1" x14ac:dyDescent="0.25">
      <c r="A89" s="575"/>
      <c r="B89" s="564"/>
      <c r="C89" s="432"/>
      <c r="D89" s="433"/>
      <c r="E89" s="438"/>
      <c r="F89" s="216" t="str">
        <f t="shared" si="15"/>
        <v/>
      </c>
      <c r="G89" s="451"/>
      <c r="H89" s="217" t="str">
        <f>IF(AND(E89="",G89=""),"",SUM(F89:G95))</f>
        <v/>
      </c>
      <c r="I89" s="218"/>
      <c r="J89" s="259"/>
      <c r="K89" s="259"/>
      <c r="L89" s="226" t="str">
        <f>IF(J89="Duplex",VLOOKUP(M89,'Características dos Cabos MX'!$C$12:$I$14,7),(IF(J89="Triplex",VLOOKUP(M89,'Características dos Cabos MX'!$C$15:$J$20,8),(IF(J89="Quadruplex",VLOOKUP(M89,'Características dos Cabos MX'!$C$21:$K$27,9),(IF(J89="13",VLOOKUP(M89,'Características dos Cabos MX'!$C$15:$L$20,10),"")))))))</f>
        <v/>
      </c>
      <c r="M89" s="410" t="str">
        <f t="shared" si="25"/>
        <v/>
      </c>
      <c r="N89" s="444"/>
      <c r="O89" s="219" t="str">
        <f t="shared" si="23"/>
        <v/>
      </c>
      <c r="P89" s="220" t="str">
        <f t="shared" si="22"/>
        <v/>
      </c>
      <c r="Q89" s="220" t="str">
        <f t="shared" si="26"/>
        <v/>
      </c>
      <c r="R89" s="221" t="str">
        <f>IF(J89="Duplex",VLOOKUP(M89,'Características dos Cabos MX'!$C$12:$I$14,5),(IF(J89="Triplex",VLOOKUP(M89,'Características dos Cabos MX'!$C$15:$J$20,5),(IF(J89="Quadruplex",VLOOKUP(M89,'Características dos Cabos MX'!$C$21:$K$27,5),(IF(J89="13",VLOOKUP(M89,'Características dos Cabos MX'!$C$15:$L$20,5),"")))))))</f>
        <v/>
      </c>
      <c r="S89" s="221" t="str">
        <f>IF(J89="Duplex",VLOOKUP(M89,'Características dos Cabos MX'!$C$12:$I$14,6),(IF(J89="Triplex",VLOOKUP(M89,'Características dos Cabos MX'!$C$15:$J$20,6),(IF(J89="Quadruplex",VLOOKUP(M89,'Características dos Cabos MX'!$C$21:$K$27,6),(IF(J89="13",VLOOKUP(M89,'Características dos Cabos MX'!$C$15:$L$20,6),"")))))))</f>
        <v/>
      </c>
      <c r="T89" s="222" t="str">
        <f t="shared" si="18"/>
        <v/>
      </c>
      <c r="U89" s="223" t="str">
        <f>IF(J89="Duplex",VLOOKUP(M89,'Características dos Cabos MX'!$C$12:$I$14,2),(IF(J89="Triplex",VLOOKUP(M89,'Características dos Cabos MX'!$C$15:$J$20,2),(IF(J89="Quadruplex",VLOOKUP(M89,'Características dos Cabos MX'!$C$21:$K$27,2),(IF(J89="13",VLOOKUP(M89,'Características dos Cabos MX'!$C$15:$L$20,2),"")))))))</f>
        <v/>
      </c>
      <c r="V89" s="221" t="str">
        <f>IF(J89="Duplex",VLOOKUP(M89,'Características dos Cabos MX'!$C$12:$I$14,3),(IF(J89="Triplex",VLOOKUP(M89,'Características dos Cabos MX'!$C$15:$J$20,3),(IF(J89="Quadruplex",VLOOKUP(M89,'Características dos Cabos MX'!$C$21:$K$27,3),(IF(J89="13",VLOOKUP(M89,'Características dos Cabos MX'!$C$15:$L$20,3),"")))))))</f>
        <v/>
      </c>
      <c r="W89" s="224" t="str">
        <f t="shared" si="19"/>
        <v/>
      </c>
      <c r="X89" s="224" t="str">
        <f t="shared" si="20"/>
        <v/>
      </c>
      <c r="Y89" s="225" t="str">
        <f t="shared" si="21"/>
        <v/>
      </c>
      <c r="AA89" s="298">
        <f t="shared" si="24"/>
        <v>0</v>
      </c>
      <c r="AB89" s="298">
        <f t="shared" si="27"/>
        <v>0</v>
      </c>
      <c r="AC89" s="284"/>
      <c r="AE89" s="299" t="str">
        <f t="shared" si="13"/>
        <v/>
      </c>
      <c r="AF89" s="334">
        <f t="shared" si="14"/>
        <v>0</v>
      </c>
    </row>
    <row r="90" spans="1:32" ht="15" customHeight="1" x14ac:dyDescent="0.25">
      <c r="A90" s="575"/>
      <c r="B90" s="564"/>
      <c r="C90" s="432"/>
      <c r="D90" s="433"/>
      <c r="E90" s="438"/>
      <c r="F90" s="216" t="str">
        <f t="shared" si="15"/>
        <v/>
      </c>
      <c r="G90" s="451"/>
      <c r="H90" s="217" t="str">
        <f>IF(AND(E90="",G90=""),"",SUM(F90:G95))</f>
        <v/>
      </c>
      <c r="I90" s="218"/>
      <c r="J90" s="259"/>
      <c r="K90" s="259"/>
      <c r="L90" s="226" t="str">
        <f>IF(J90="Duplex",VLOOKUP(M90,'Características dos Cabos MX'!$C$12:$I$14,7),(IF(J90="Triplex",VLOOKUP(M90,'Características dos Cabos MX'!$C$15:$J$20,8),(IF(J90="Quadruplex",VLOOKUP(M90,'Características dos Cabos MX'!$C$21:$K$27,9),(IF(J90="13",VLOOKUP(M90,'Características dos Cabos MX'!$C$15:$L$20,10),"")))))))</f>
        <v/>
      </c>
      <c r="M90" s="410" t="str">
        <f t="shared" si="25"/>
        <v/>
      </c>
      <c r="N90" s="444"/>
      <c r="O90" s="219" t="str">
        <f t="shared" si="23"/>
        <v/>
      </c>
      <c r="P90" s="220" t="str">
        <f t="shared" si="22"/>
        <v/>
      </c>
      <c r="Q90" s="220" t="str">
        <f t="shared" si="26"/>
        <v/>
      </c>
      <c r="R90" s="221" t="str">
        <f>IF(J90="Duplex",VLOOKUP(M90,'Características dos Cabos MX'!$C$12:$I$14,5),(IF(J90="Triplex",VLOOKUP(M90,'Características dos Cabos MX'!$C$15:$J$20,5),(IF(J90="Quadruplex",VLOOKUP(M90,'Características dos Cabos MX'!$C$21:$K$27,5),(IF(J90="13",VLOOKUP(M90,'Características dos Cabos MX'!$C$15:$L$20,5),"")))))))</f>
        <v/>
      </c>
      <c r="S90" s="221" t="str">
        <f>IF(J90="Duplex",VLOOKUP(M90,'Características dos Cabos MX'!$C$12:$I$14,6),(IF(J90="Triplex",VLOOKUP(M90,'Características dos Cabos MX'!$C$15:$J$20,6),(IF(J90="Quadruplex",VLOOKUP(M90,'Características dos Cabos MX'!$C$21:$K$27,6),(IF(J90="13",VLOOKUP(M90,'Características dos Cabos MX'!$C$15:$L$20,6),"")))))))</f>
        <v/>
      </c>
      <c r="T90" s="222" t="str">
        <f t="shared" si="18"/>
        <v/>
      </c>
      <c r="U90" s="223" t="str">
        <f>IF(J90="Duplex",VLOOKUP(M90,'Características dos Cabos MX'!$C$12:$I$14,2),(IF(J90="Triplex",VLOOKUP(M90,'Características dos Cabos MX'!$C$15:$J$20,2),(IF(J90="Quadruplex",VLOOKUP(M90,'Características dos Cabos MX'!$C$21:$K$27,2),(IF(J90="13",VLOOKUP(M90,'Características dos Cabos MX'!$C$15:$L$20,2),"")))))))</f>
        <v/>
      </c>
      <c r="V90" s="221" t="str">
        <f>IF(J90="Duplex",VLOOKUP(M90,'Características dos Cabos MX'!$C$12:$I$14,3),(IF(J90="Triplex",VLOOKUP(M90,'Características dos Cabos MX'!$C$15:$J$20,3),(IF(J90="Quadruplex",VLOOKUP(M90,'Características dos Cabos MX'!$C$21:$K$27,3),(IF(J90="13",VLOOKUP(M90,'Características dos Cabos MX'!$C$15:$L$20,3),"")))))))</f>
        <v/>
      </c>
      <c r="W90" s="224" t="str">
        <f t="shared" si="19"/>
        <v/>
      </c>
      <c r="X90" s="224" t="str">
        <f t="shared" si="20"/>
        <v/>
      </c>
      <c r="Y90" s="225" t="str">
        <f t="shared" si="21"/>
        <v/>
      </c>
      <c r="AA90" s="298">
        <f t="shared" si="24"/>
        <v>0</v>
      </c>
      <c r="AB90" s="298">
        <f t="shared" si="27"/>
        <v>0</v>
      </c>
      <c r="AC90" s="284"/>
      <c r="AE90" s="299" t="str">
        <f t="shared" si="13"/>
        <v/>
      </c>
      <c r="AF90" s="334">
        <f t="shared" si="14"/>
        <v>0</v>
      </c>
    </row>
    <row r="91" spans="1:32" ht="15" customHeight="1" x14ac:dyDescent="0.25">
      <c r="A91" s="575"/>
      <c r="B91" s="564"/>
      <c r="C91" s="432"/>
      <c r="D91" s="433"/>
      <c r="E91" s="438"/>
      <c r="F91" s="216" t="str">
        <f t="shared" si="15"/>
        <v/>
      </c>
      <c r="G91" s="451"/>
      <c r="H91" s="217" t="str">
        <f>IF(AND(E91="",G91=""),"",SUM(F91:G95))</f>
        <v/>
      </c>
      <c r="I91" s="218"/>
      <c r="J91" s="259"/>
      <c r="K91" s="259"/>
      <c r="L91" s="226" t="str">
        <f>IF(J91="Duplex",VLOOKUP(M91,'Características dos Cabos MX'!$C$12:$I$14,7),(IF(J91="Triplex",VLOOKUP(M91,'Características dos Cabos MX'!$C$15:$J$20,8),(IF(J91="Quadruplex",VLOOKUP(M91,'Características dos Cabos MX'!$C$21:$K$27,9),(IF(J91="13",VLOOKUP(M91,'Características dos Cabos MX'!$C$15:$L$20,10),"")))))))</f>
        <v/>
      </c>
      <c r="M91" s="410" t="str">
        <f t="shared" si="25"/>
        <v/>
      </c>
      <c r="N91" s="444"/>
      <c r="O91" s="219" t="str">
        <f t="shared" si="23"/>
        <v/>
      </c>
      <c r="P91" s="220" t="str">
        <f t="shared" si="22"/>
        <v/>
      </c>
      <c r="Q91" s="220" t="str">
        <f t="shared" si="26"/>
        <v/>
      </c>
      <c r="R91" s="221" t="str">
        <f>IF(J91="Duplex",VLOOKUP(M91,'Características dos Cabos MX'!$C$12:$I$14,5),(IF(J91="Triplex",VLOOKUP(M91,'Características dos Cabos MX'!$C$15:$J$20,5),(IF(J91="Quadruplex",VLOOKUP(M91,'Características dos Cabos MX'!$C$21:$K$27,5),(IF(J91="13",VLOOKUP(M91,'Características dos Cabos MX'!$C$15:$L$20,5),"")))))))</f>
        <v/>
      </c>
      <c r="S91" s="221" t="str">
        <f>IF(J91="Duplex",VLOOKUP(M91,'Características dos Cabos MX'!$C$12:$I$14,6),(IF(J91="Triplex",VLOOKUP(M91,'Características dos Cabos MX'!$C$15:$J$20,6),(IF(J91="Quadruplex",VLOOKUP(M91,'Características dos Cabos MX'!$C$21:$K$27,6),(IF(J91="13",VLOOKUP(M91,'Características dos Cabos MX'!$C$15:$L$20,6),"")))))))</f>
        <v/>
      </c>
      <c r="T91" s="222" t="str">
        <f t="shared" si="18"/>
        <v/>
      </c>
      <c r="U91" s="223" t="str">
        <f>IF(J91="Duplex",VLOOKUP(M91,'Características dos Cabos MX'!$C$12:$I$14,2),(IF(J91="Triplex",VLOOKUP(M91,'Características dos Cabos MX'!$C$15:$J$20,2),(IF(J91="Quadruplex",VLOOKUP(M91,'Características dos Cabos MX'!$C$21:$K$27,2),(IF(J91="13",VLOOKUP(M91,'Características dos Cabos MX'!$C$15:$L$20,2),"")))))))</f>
        <v/>
      </c>
      <c r="V91" s="221" t="str">
        <f>IF(J91="Duplex",VLOOKUP(M91,'Características dos Cabos MX'!$C$12:$I$14,3),(IF(J91="Triplex",VLOOKUP(M91,'Características dos Cabos MX'!$C$15:$J$20,3),(IF(J91="Quadruplex",VLOOKUP(M91,'Características dos Cabos MX'!$C$21:$K$27,3),(IF(J91="13",VLOOKUP(M91,'Características dos Cabos MX'!$C$15:$L$20,3),"")))))))</f>
        <v/>
      </c>
      <c r="W91" s="224" t="str">
        <f t="shared" si="19"/>
        <v/>
      </c>
      <c r="X91" s="224" t="str">
        <f t="shared" si="20"/>
        <v/>
      </c>
      <c r="Y91" s="225" t="str">
        <f t="shared" si="21"/>
        <v/>
      </c>
      <c r="AA91" s="298">
        <f t="shared" si="24"/>
        <v>0</v>
      </c>
      <c r="AB91" s="298">
        <f t="shared" si="27"/>
        <v>0</v>
      </c>
      <c r="AC91" s="284"/>
      <c r="AE91" s="299" t="str">
        <f t="shared" si="13"/>
        <v/>
      </c>
      <c r="AF91" s="334">
        <f t="shared" si="14"/>
        <v>0</v>
      </c>
    </row>
    <row r="92" spans="1:32" ht="15" customHeight="1" x14ac:dyDescent="0.25">
      <c r="A92" s="575"/>
      <c r="B92" s="564"/>
      <c r="C92" s="432"/>
      <c r="D92" s="433"/>
      <c r="E92" s="438"/>
      <c r="F92" s="216" t="str">
        <f t="shared" si="15"/>
        <v/>
      </c>
      <c r="G92" s="451"/>
      <c r="H92" s="217" t="str">
        <f>IF(AND(E92="",G92=""),"",SUM(F92:G95))</f>
        <v/>
      </c>
      <c r="I92" s="218"/>
      <c r="J92" s="259"/>
      <c r="K92" s="259"/>
      <c r="L92" s="226" t="str">
        <f>IF(J92="Duplex",VLOOKUP(M92,'Características dos Cabos MX'!$C$12:$I$14,7),(IF(J92="Triplex",VLOOKUP(M92,'Características dos Cabos MX'!$C$15:$J$20,8),(IF(J92="Quadruplex",VLOOKUP(M92,'Características dos Cabos MX'!$C$21:$K$27,9),(IF(J92="13",VLOOKUP(M92,'Características dos Cabos MX'!$C$15:$L$20,10),"")))))))</f>
        <v/>
      </c>
      <c r="M92" s="410" t="str">
        <f t="shared" si="25"/>
        <v/>
      </c>
      <c r="N92" s="444"/>
      <c r="O92" s="219" t="str">
        <f t="shared" si="23"/>
        <v/>
      </c>
      <c r="P92" s="220" t="str">
        <f t="shared" si="22"/>
        <v/>
      </c>
      <c r="Q92" s="220" t="str">
        <f t="shared" si="26"/>
        <v/>
      </c>
      <c r="R92" s="221" t="str">
        <f>IF(J92="Duplex",VLOOKUP(M92,'Características dos Cabos MX'!$C$12:$I$14,5),(IF(J92="Triplex",VLOOKUP(M92,'Características dos Cabos MX'!$C$15:$J$20,5),(IF(J92="Quadruplex",VLOOKUP(M92,'Características dos Cabos MX'!$C$21:$K$27,5),(IF(J92="13",VLOOKUP(M92,'Características dos Cabos MX'!$C$15:$L$20,5),"")))))))</f>
        <v/>
      </c>
      <c r="S92" s="221" t="str">
        <f>IF(J92="Duplex",VLOOKUP(M92,'Características dos Cabos MX'!$C$12:$I$14,6),(IF(J92="Triplex",VLOOKUP(M92,'Características dos Cabos MX'!$C$15:$J$20,6),(IF(J92="Quadruplex",VLOOKUP(M92,'Características dos Cabos MX'!$C$21:$K$27,6),(IF(J92="13",VLOOKUP(M92,'Características dos Cabos MX'!$C$15:$L$20,6),"")))))))</f>
        <v/>
      </c>
      <c r="T92" s="222" t="str">
        <f t="shared" si="18"/>
        <v/>
      </c>
      <c r="U92" s="223" t="str">
        <f>IF(J92="Duplex",VLOOKUP(M92,'Características dos Cabos MX'!$C$12:$I$14,2),(IF(J92="Triplex",VLOOKUP(M92,'Características dos Cabos MX'!$C$15:$J$20,2),(IF(J92="Quadruplex",VLOOKUP(M92,'Características dos Cabos MX'!$C$21:$K$27,2),(IF(J92="13",VLOOKUP(M92,'Características dos Cabos MX'!$C$15:$L$20,2),"")))))))</f>
        <v/>
      </c>
      <c r="V92" s="221" t="str">
        <f>IF(J92="Duplex",VLOOKUP(M92,'Características dos Cabos MX'!$C$12:$I$14,3),(IF(J92="Triplex",VLOOKUP(M92,'Características dos Cabos MX'!$C$15:$J$20,3),(IF(J92="Quadruplex",VLOOKUP(M92,'Características dos Cabos MX'!$C$21:$K$27,3),(IF(J92="13",VLOOKUP(M92,'Características dos Cabos MX'!$C$15:$L$20,3),"")))))))</f>
        <v/>
      </c>
      <c r="W92" s="224" t="str">
        <f t="shared" si="19"/>
        <v/>
      </c>
      <c r="X92" s="224" t="str">
        <f t="shared" si="20"/>
        <v/>
      </c>
      <c r="Y92" s="225" t="str">
        <f t="shared" si="21"/>
        <v/>
      </c>
      <c r="AA92" s="298">
        <f t="shared" si="24"/>
        <v>0</v>
      </c>
      <c r="AB92" s="298">
        <f t="shared" si="27"/>
        <v>0</v>
      </c>
      <c r="AC92" s="284"/>
      <c r="AE92" s="299" t="str">
        <f t="shared" si="13"/>
        <v/>
      </c>
      <c r="AF92" s="334">
        <f t="shared" si="14"/>
        <v>0</v>
      </c>
    </row>
    <row r="93" spans="1:32" ht="15" customHeight="1" x14ac:dyDescent="0.25">
      <c r="A93" s="575"/>
      <c r="B93" s="564"/>
      <c r="C93" s="432"/>
      <c r="D93" s="433"/>
      <c r="E93" s="438"/>
      <c r="F93" s="216" t="str">
        <f t="shared" si="15"/>
        <v/>
      </c>
      <c r="G93" s="451"/>
      <c r="H93" s="217" t="str">
        <f>IF(AND(E93="",G93=""),"",SUM(F93:G95))</f>
        <v/>
      </c>
      <c r="I93" s="218"/>
      <c r="J93" s="259"/>
      <c r="K93" s="259"/>
      <c r="L93" s="226" t="str">
        <f>IF(J93="Duplex",VLOOKUP(M93,'Características dos Cabos MX'!$C$12:$I$14,7),(IF(J93="Triplex",VLOOKUP(M93,'Características dos Cabos MX'!$C$15:$J$20,8),(IF(J93="Quadruplex",VLOOKUP(M93,'Características dos Cabos MX'!$C$21:$K$27,9),(IF(J93="13",VLOOKUP(M93,'Características dos Cabos MX'!$C$15:$L$20,10),"")))))))</f>
        <v/>
      </c>
      <c r="M93" s="410" t="str">
        <f t="shared" si="25"/>
        <v/>
      </c>
      <c r="N93" s="444"/>
      <c r="O93" s="219" t="str">
        <f t="shared" si="23"/>
        <v/>
      </c>
      <c r="P93" s="220" t="str">
        <f t="shared" si="22"/>
        <v/>
      </c>
      <c r="Q93" s="220" t="str">
        <f t="shared" si="26"/>
        <v/>
      </c>
      <c r="R93" s="221" t="str">
        <f>IF(J93="Duplex",VLOOKUP(M93,'Características dos Cabos MX'!$C$12:$I$14,5),(IF(J93="Triplex",VLOOKUP(M93,'Características dos Cabos MX'!$C$15:$J$20,5),(IF(J93="Quadruplex",VLOOKUP(M93,'Características dos Cabos MX'!$C$21:$K$27,5),(IF(J93="13",VLOOKUP(M93,'Características dos Cabos MX'!$C$15:$L$20,5),"")))))))</f>
        <v/>
      </c>
      <c r="S93" s="221" t="str">
        <f>IF(J93="Duplex",VLOOKUP(M93,'Características dos Cabos MX'!$C$12:$I$14,6),(IF(J93="Triplex",VLOOKUP(M93,'Características dos Cabos MX'!$C$15:$J$20,6),(IF(J93="Quadruplex",VLOOKUP(M93,'Características dos Cabos MX'!$C$21:$K$27,6),(IF(J93="13",VLOOKUP(M93,'Características dos Cabos MX'!$C$15:$L$20,6),"")))))))</f>
        <v/>
      </c>
      <c r="T93" s="222" t="str">
        <f t="shared" si="18"/>
        <v/>
      </c>
      <c r="U93" s="223" t="str">
        <f>IF(J93="Duplex",VLOOKUP(M93,'Características dos Cabos MX'!$C$12:$I$14,2),(IF(J93="Triplex",VLOOKUP(M93,'Características dos Cabos MX'!$C$15:$J$20,2),(IF(J93="Quadruplex",VLOOKUP(M93,'Características dos Cabos MX'!$C$21:$K$27,2),(IF(J93="13",VLOOKUP(M93,'Características dos Cabos MX'!$C$15:$L$20,2),"")))))))</f>
        <v/>
      </c>
      <c r="V93" s="221" t="str">
        <f>IF(J93="Duplex",VLOOKUP(M93,'Características dos Cabos MX'!$C$12:$I$14,3),(IF(J93="Triplex",VLOOKUP(M93,'Características dos Cabos MX'!$C$15:$J$20,3),(IF(J93="Quadruplex",VLOOKUP(M93,'Características dos Cabos MX'!$C$21:$K$27,3),(IF(J93="13",VLOOKUP(M93,'Características dos Cabos MX'!$C$15:$L$20,3),"")))))))</f>
        <v/>
      </c>
      <c r="W93" s="224" t="str">
        <f t="shared" si="19"/>
        <v/>
      </c>
      <c r="X93" s="224" t="str">
        <f t="shared" si="20"/>
        <v/>
      </c>
      <c r="Y93" s="225" t="str">
        <f t="shared" si="21"/>
        <v/>
      </c>
      <c r="AA93" s="298">
        <f t="shared" si="24"/>
        <v>0</v>
      </c>
      <c r="AB93" s="298">
        <f t="shared" si="27"/>
        <v>0</v>
      </c>
      <c r="AC93" s="284"/>
      <c r="AE93" s="299" t="str">
        <f t="shared" si="13"/>
        <v/>
      </c>
      <c r="AF93" s="334">
        <f t="shared" si="14"/>
        <v>0</v>
      </c>
    </row>
    <row r="94" spans="1:32" ht="15" customHeight="1" x14ac:dyDescent="0.25">
      <c r="A94" s="575"/>
      <c r="B94" s="564"/>
      <c r="C94" s="432"/>
      <c r="D94" s="433"/>
      <c r="E94" s="438"/>
      <c r="F94" s="216" t="str">
        <f t="shared" si="15"/>
        <v/>
      </c>
      <c r="G94" s="451"/>
      <c r="H94" s="217" t="str">
        <f>IF(AND(E94="",G94=""),"",SUM(F94:G95))</f>
        <v/>
      </c>
      <c r="I94" s="218"/>
      <c r="J94" s="259"/>
      <c r="K94" s="259"/>
      <c r="L94" s="226" t="str">
        <f>IF(J94="Duplex",VLOOKUP(M94,'Características dos Cabos MX'!$C$12:$I$14,7),(IF(J94="Triplex",VLOOKUP(M94,'Características dos Cabos MX'!$C$15:$J$20,8),(IF(J94="Quadruplex",VLOOKUP(M94,'Características dos Cabos MX'!$C$21:$K$27,9),(IF(J94="13",VLOOKUP(M94,'Características dos Cabos MX'!$C$15:$L$20,10),"")))))))</f>
        <v/>
      </c>
      <c r="M94" s="410" t="str">
        <f t="shared" si="25"/>
        <v/>
      </c>
      <c r="N94" s="444"/>
      <c r="O94" s="219" t="str">
        <f t="shared" si="23"/>
        <v/>
      </c>
      <c r="P94" s="220" t="str">
        <f t="shared" si="22"/>
        <v/>
      </c>
      <c r="Q94" s="220" t="str">
        <f t="shared" si="26"/>
        <v/>
      </c>
      <c r="R94" s="221" t="str">
        <f>IF(J94="Duplex",VLOOKUP(M94,'Características dos Cabos MX'!$C$12:$I$14,5),(IF(J94="Triplex",VLOOKUP(M94,'Características dos Cabos MX'!$C$15:$J$20,5),(IF(J94="Quadruplex",VLOOKUP(M94,'Características dos Cabos MX'!$C$21:$K$27,5),(IF(J94="13",VLOOKUP(M94,'Características dos Cabos MX'!$C$15:$L$20,5),"")))))))</f>
        <v/>
      </c>
      <c r="S94" s="221" t="str">
        <f>IF(J94="Duplex",VLOOKUP(M94,'Características dos Cabos MX'!$C$12:$I$14,6),(IF(J94="Triplex",VLOOKUP(M94,'Características dos Cabos MX'!$C$15:$J$20,6),(IF(J94="Quadruplex",VLOOKUP(M94,'Características dos Cabos MX'!$C$21:$K$27,6),(IF(J94="13",VLOOKUP(M94,'Características dos Cabos MX'!$C$15:$L$20,6),"")))))))</f>
        <v/>
      </c>
      <c r="T94" s="222" t="str">
        <f t="shared" si="18"/>
        <v/>
      </c>
      <c r="U94" s="223" t="str">
        <f>IF(J94="Duplex",VLOOKUP(M94,'Características dos Cabos MX'!$C$12:$I$14,2),(IF(J94="Triplex",VLOOKUP(M94,'Características dos Cabos MX'!$C$15:$J$20,2),(IF(J94="Quadruplex",VLOOKUP(M94,'Características dos Cabos MX'!$C$21:$K$27,2),(IF(J94="13",VLOOKUP(M94,'Características dos Cabos MX'!$C$15:$L$20,2),"")))))))</f>
        <v/>
      </c>
      <c r="V94" s="221" t="str">
        <f>IF(J94="Duplex",VLOOKUP(M94,'Características dos Cabos MX'!$C$12:$I$14,3),(IF(J94="Triplex",VLOOKUP(M94,'Características dos Cabos MX'!$C$15:$J$20,3),(IF(J94="Quadruplex",VLOOKUP(M94,'Características dos Cabos MX'!$C$21:$K$27,3),(IF(J94="13",VLOOKUP(M94,'Características dos Cabos MX'!$C$15:$L$20,3),"")))))))</f>
        <v/>
      </c>
      <c r="W94" s="224" t="str">
        <f t="shared" si="19"/>
        <v/>
      </c>
      <c r="X94" s="224" t="str">
        <f t="shared" si="20"/>
        <v/>
      </c>
      <c r="Y94" s="225" t="str">
        <f t="shared" si="21"/>
        <v/>
      </c>
      <c r="AA94" s="298">
        <f t="shared" si="24"/>
        <v>0</v>
      </c>
      <c r="AB94" s="298">
        <f t="shared" si="27"/>
        <v>0</v>
      </c>
      <c r="AC94" s="284"/>
      <c r="AE94" s="299" t="str">
        <f t="shared" si="13"/>
        <v/>
      </c>
      <c r="AF94" s="334">
        <f t="shared" si="14"/>
        <v>0</v>
      </c>
    </row>
    <row r="95" spans="1:32" ht="15" customHeight="1" thickBot="1" x14ac:dyDescent="0.3">
      <c r="A95" s="575"/>
      <c r="B95" s="565"/>
      <c r="C95" s="434"/>
      <c r="D95" s="435"/>
      <c r="E95" s="434"/>
      <c r="F95" s="228" t="str">
        <f t="shared" si="15"/>
        <v/>
      </c>
      <c r="G95" s="452"/>
      <c r="H95" s="229" t="str">
        <f>IF(AND(E95="",G95=""),"",SUM(F95:G95))</f>
        <v/>
      </c>
      <c r="I95" s="230"/>
      <c r="J95" s="260"/>
      <c r="K95" s="260"/>
      <c r="L95" s="231" t="str">
        <f>IF(J95="Duplex",VLOOKUP(M95,'Características dos Cabos MX'!$C$12:$I$14,7),(IF(J95="Triplex",VLOOKUP(M95,'Características dos Cabos MX'!$C$15:$J$20,8),(IF(J95="Quadruplex",VLOOKUP(M95,'Características dos Cabos MX'!$C$21:$K$27,9),(IF(J95="13",VLOOKUP(M95,'Características dos Cabos MX'!$C$15:$L$20,10),"")))))))</f>
        <v/>
      </c>
      <c r="M95" s="412" t="str">
        <f t="shared" si="25"/>
        <v/>
      </c>
      <c r="N95" s="445"/>
      <c r="O95" s="232" t="str">
        <f t="shared" si="23"/>
        <v/>
      </c>
      <c r="P95" s="233" t="str">
        <f t="shared" si="22"/>
        <v/>
      </c>
      <c r="Q95" s="233" t="str">
        <f t="shared" si="26"/>
        <v/>
      </c>
      <c r="R95" s="234" t="str">
        <f>IF(J95="Duplex",VLOOKUP(M95,'Características dos Cabos MX'!$C$12:$I$14,5),(IF(J95="Triplex",VLOOKUP(M95,'Características dos Cabos MX'!$C$15:$J$20,5),(IF(J95="Quadruplex",VLOOKUP(M95,'Características dos Cabos MX'!$C$21:$K$27,5),(IF(J95="13",VLOOKUP(M95,'Características dos Cabos MX'!$C$15:$L$20,5),"")))))))</f>
        <v/>
      </c>
      <c r="S95" s="234" t="str">
        <f>IF(J95="Duplex",VLOOKUP(M95,'Características dos Cabos MX'!$C$12:$I$14,6),(IF(J95="Triplex",VLOOKUP(M95,'Características dos Cabos MX'!$C$15:$J$20,6),(IF(J95="Quadruplex",VLOOKUP(M95,'Características dos Cabos MX'!$C$21:$K$27,6),(IF(J95="13",VLOOKUP(M95,'Características dos Cabos MX'!$C$15:$L$20,6),"")))))))</f>
        <v/>
      </c>
      <c r="T95" s="235" t="str">
        <f t="shared" si="18"/>
        <v/>
      </c>
      <c r="U95" s="236" t="str">
        <f>IF(J95="Duplex",VLOOKUP(M95,'Características dos Cabos MX'!$C$12:$I$14,2),(IF(J95="Triplex",VLOOKUP(M95,'Características dos Cabos MX'!$C$15:$J$20,2),(IF(J95="Quadruplex",VLOOKUP(M95,'Características dos Cabos MX'!$C$21:$K$27,2),(IF(J95="13",VLOOKUP(M95,'Características dos Cabos MX'!$C$15:$L$20,2),"")))))))</f>
        <v/>
      </c>
      <c r="V95" s="234" t="str">
        <f>IF(J95="Duplex",VLOOKUP(M95,'Características dos Cabos MX'!$C$12:$I$14,3),(IF(J95="Triplex",VLOOKUP(M95,'Características dos Cabos MX'!$C$15:$J$20,3),(IF(J95="Quadruplex",VLOOKUP(M95,'Características dos Cabos MX'!$C$21:$K$27,3),(IF(J95="13",VLOOKUP(M95,'Características dos Cabos MX'!$C$15:$L$20,3),"")))))))</f>
        <v/>
      </c>
      <c r="W95" s="237" t="str">
        <f t="shared" si="19"/>
        <v/>
      </c>
      <c r="X95" s="237" t="str">
        <f t="shared" si="20"/>
        <v/>
      </c>
      <c r="Y95" s="238" t="str">
        <f t="shared" si="21"/>
        <v/>
      </c>
      <c r="AA95" s="298">
        <f t="shared" si="24"/>
        <v>0</v>
      </c>
      <c r="AB95" s="298">
        <f t="shared" si="27"/>
        <v>0</v>
      </c>
      <c r="AC95" s="284"/>
      <c r="AE95" s="299" t="str">
        <f t="shared" si="13"/>
        <v/>
      </c>
      <c r="AF95" s="334">
        <f t="shared" si="14"/>
        <v>0</v>
      </c>
    </row>
    <row r="96" spans="1:32" ht="15" customHeight="1" thickTop="1" x14ac:dyDescent="0.25">
      <c r="A96" s="575"/>
      <c r="B96" s="563" t="str">
        <f>CONCATENATE("Ramal 6 - Derivando no ponto ",C96)</f>
        <v xml:space="preserve">Ramal 6 - Derivando no ponto </v>
      </c>
      <c r="C96" s="431"/>
      <c r="D96" s="436"/>
      <c r="E96" s="440"/>
      <c r="F96" s="239" t="str">
        <f t="shared" si="15"/>
        <v/>
      </c>
      <c r="G96" s="453"/>
      <c r="H96" s="240" t="str">
        <f>IF(AND(E96="",G96=""),"",SUM(F96:G105))</f>
        <v/>
      </c>
      <c r="I96" s="241"/>
      <c r="J96" s="262"/>
      <c r="K96" s="262"/>
      <c r="L96" s="242" t="str">
        <f>IF(J96="Duplex",VLOOKUP(M96,'Características dos Cabos MX'!$C$12:$I$14,7),(IF(J96="Triplex",VLOOKUP(M96,'Características dos Cabos MX'!$C$15:$J$20,8),(IF(J96="Quadruplex",VLOOKUP(M96,'Características dos Cabos MX'!$C$21:$K$27,9),(IF(J96="13",VLOOKUP(M96,'Características dos Cabos MX'!$C$15:$L$20,10),"")))))))</f>
        <v/>
      </c>
      <c r="M96" s="413" t="str">
        <f t="shared" si="25"/>
        <v/>
      </c>
      <c r="N96" s="446"/>
      <c r="O96" s="243" t="str">
        <f t="shared" si="23"/>
        <v/>
      </c>
      <c r="P96" s="244" t="str">
        <f>IF(O96="","",O96+VLOOKUP(C96,$D$20:$Q$96,13,FALSE))</f>
        <v/>
      </c>
      <c r="Q96" s="244" t="str">
        <f t="shared" si="26"/>
        <v/>
      </c>
      <c r="R96" s="245" t="str">
        <f>IF(J96="Duplex",VLOOKUP(M96,'Características dos Cabos MX'!$C$12:$I$14,5),(IF(J96="Triplex",VLOOKUP(M96,'Características dos Cabos MX'!$C$15:$J$20,5),(IF(J96="Quadruplex",VLOOKUP(M96,'Características dos Cabos MX'!$C$21:$K$27,5),(IF(J96="13",VLOOKUP(M96,'Características dos Cabos MX'!$C$15:$L$20,5),"")))))))</f>
        <v/>
      </c>
      <c r="S96" s="245" t="str">
        <f>IF(J96="Duplex",VLOOKUP(M96,'Características dos Cabos MX'!$C$12:$I$14,6),(IF(J96="Triplex",VLOOKUP(M96,'Características dos Cabos MX'!$C$15:$J$20,6),(IF(J96="Quadruplex",VLOOKUP(M96,'Características dos Cabos MX'!$C$21:$K$27,6),(IF(J96="13",VLOOKUP(M96,'Características dos Cabos MX'!$C$15:$L$20,6),"")))))))</f>
        <v/>
      </c>
      <c r="T96" s="246" t="str">
        <f t="shared" si="18"/>
        <v/>
      </c>
      <c r="U96" s="247" t="str">
        <f>IF(J96="Duplex",VLOOKUP(M96,'Características dos Cabos MX'!$C$12:$I$14,2),(IF(J96="Triplex",VLOOKUP(M96,'Características dos Cabos MX'!$C$15:$J$20,2),(IF(J96="Quadruplex",VLOOKUP(M96,'Características dos Cabos MX'!$C$21:$K$27,2),(IF(J96="13",VLOOKUP(M96,'Características dos Cabos MX'!$C$15:$L$20,2),"")))))))</f>
        <v/>
      </c>
      <c r="V96" s="245" t="str">
        <f>IF(J96="Duplex",VLOOKUP(M96,'Características dos Cabos MX'!$C$12:$I$14,3),(IF(J96="Triplex",VLOOKUP(M96,'Características dos Cabos MX'!$C$15:$J$20,3),(IF(J96="Quadruplex",VLOOKUP(M96,'Características dos Cabos MX'!$C$21:$K$27,3),(IF(J96="13",VLOOKUP(M96,'Características dos Cabos MX'!$C$15:$L$20,3),"")))))))</f>
        <v/>
      </c>
      <c r="W96" s="248" t="str">
        <f t="shared" si="19"/>
        <v/>
      </c>
      <c r="X96" s="248" t="str">
        <f t="shared" si="20"/>
        <v/>
      </c>
      <c r="Y96" s="249" t="str">
        <f t="shared" si="21"/>
        <v/>
      </c>
      <c r="Z96" s="121" t="str">
        <f>IF(O96="","",O96+VLOOKUP(C96,$D$20:$P$44,13,FALSE))</f>
        <v/>
      </c>
      <c r="AA96" s="298">
        <f t="shared" si="24"/>
        <v>0</v>
      </c>
      <c r="AB96" s="298">
        <f t="shared" si="27"/>
        <v>0</v>
      </c>
      <c r="AC96" s="284"/>
      <c r="AE96" s="299" t="str">
        <f t="shared" si="13"/>
        <v/>
      </c>
      <c r="AF96" s="334">
        <f t="shared" si="14"/>
        <v>0</v>
      </c>
    </row>
    <row r="97" spans="1:32" ht="15" customHeight="1" x14ac:dyDescent="0.25">
      <c r="A97" s="575"/>
      <c r="B97" s="564"/>
      <c r="C97" s="432"/>
      <c r="D97" s="433"/>
      <c r="E97" s="438"/>
      <c r="F97" s="216" t="str">
        <f t="shared" si="15"/>
        <v/>
      </c>
      <c r="G97" s="451"/>
      <c r="H97" s="217" t="str">
        <f>IF(AND(E97="",G97=""),"",SUM(F97:G105))</f>
        <v/>
      </c>
      <c r="I97" s="218"/>
      <c r="J97" s="259"/>
      <c r="K97" s="259"/>
      <c r="L97" s="226" t="str">
        <f>IF(J97="Duplex",VLOOKUP(M97,'Características dos Cabos MX'!$C$12:$I$14,7),(IF(J97="Triplex",VLOOKUP(M97,'Características dos Cabos MX'!$C$15:$J$20,8),(IF(J97="Quadruplex",VLOOKUP(M97,'Características dos Cabos MX'!$C$21:$K$27,9),(IF(J97="13",VLOOKUP(M97,'Características dos Cabos MX'!$C$15:$L$20,10),"")))))))</f>
        <v/>
      </c>
      <c r="M97" s="410" t="str">
        <f t="shared" si="25"/>
        <v/>
      </c>
      <c r="N97" s="444"/>
      <c r="O97" s="219" t="str">
        <f t="shared" si="23"/>
        <v/>
      </c>
      <c r="P97" s="220" t="str">
        <f t="shared" si="22"/>
        <v/>
      </c>
      <c r="Q97" s="220" t="str">
        <f t="shared" si="26"/>
        <v/>
      </c>
      <c r="R97" s="221" t="str">
        <f>IF(J97="Duplex",VLOOKUP(M97,'Características dos Cabos MX'!$C$12:$I$14,5),(IF(J97="Triplex",VLOOKUP(M97,'Características dos Cabos MX'!$C$15:$J$20,5),(IF(J97="Quadruplex",VLOOKUP(M97,'Características dos Cabos MX'!$C$21:$K$27,5),(IF(J97="13",VLOOKUP(M97,'Características dos Cabos MX'!$C$15:$L$20,5),"")))))))</f>
        <v/>
      </c>
      <c r="S97" s="221" t="str">
        <f>IF(J97="Duplex",VLOOKUP(M97,'Características dos Cabos MX'!$C$12:$I$14,6),(IF(J97="Triplex",VLOOKUP(M97,'Características dos Cabos MX'!$C$15:$J$20,6),(IF(J97="Quadruplex",VLOOKUP(M97,'Características dos Cabos MX'!$C$21:$K$27,6),(IF(J97="13",VLOOKUP(M97,'Características dos Cabos MX'!$C$15:$L$20,6),"")))))))</f>
        <v/>
      </c>
      <c r="T97" s="222" t="str">
        <f t="shared" si="18"/>
        <v/>
      </c>
      <c r="U97" s="223" t="str">
        <f>IF(J97="Duplex",VLOOKUP(M97,'Características dos Cabos MX'!$C$12:$I$14,2),(IF(J97="Triplex",VLOOKUP(M97,'Características dos Cabos MX'!$C$15:$J$20,2),(IF(J97="Quadruplex",VLOOKUP(M97,'Características dos Cabos MX'!$C$21:$K$27,2),(IF(J97="13",VLOOKUP(M97,'Características dos Cabos MX'!$C$15:$L$20,2),"")))))))</f>
        <v/>
      </c>
      <c r="V97" s="221" t="str">
        <f>IF(J97="Duplex",VLOOKUP(M97,'Características dos Cabos MX'!$C$12:$I$14,3),(IF(J97="Triplex",VLOOKUP(M97,'Características dos Cabos MX'!$C$15:$J$20,3),(IF(J97="Quadruplex",VLOOKUP(M97,'Características dos Cabos MX'!$C$21:$K$27,3),(IF(J97="13",VLOOKUP(M97,'Características dos Cabos MX'!$C$15:$L$20,3),"")))))))</f>
        <v/>
      </c>
      <c r="W97" s="224" t="str">
        <f t="shared" si="19"/>
        <v/>
      </c>
      <c r="X97" s="224" t="str">
        <f t="shared" si="20"/>
        <v/>
      </c>
      <c r="Y97" s="225" t="str">
        <f t="shared" si="21"/>
        <v/>
      </c>
      <c r="AA97" s="298">
        <f t="shared" si="24"/>
        <v>0</v>
      </c>
      <c r="AB97" s="298">
        <f t="shared" si="27"/>
        <v>0</v>
      </c>
      <c r="AC97" s="284"/>
      <c r="AE97" s="299" t="str">
        <f t="shared" si="13"/>
        <v/>
      </c>
      <c r="AF97" s="334">
        <f t="shared" si="14"/>
        <v>0</v>
      </c>
    </row>
    <row r="98" spans="1:32" ht="15" customHeight="1" x14ac:dyDescent="0.25">
      <c r="A98" s="575"/>
      <c r="B98" s="564"/>
      <c r="C98" s="432"/>
      <c r="D98" s="433"/>
      <c r="E98" s="438"/>
      <c r="F98" s="216" t="str">
        <f t="shared" si="15"/>
        <v/>
      </c>
      <c r="G98" s="451"/>
      <c r="H98" s="217" t="str">
        <f>IF(AND(E98="",G98=""),"",SUM(F98:G105))</f>
        <v/>
      </c>
      <c r="I98" s="218"/>
      <c r="J98" s="259"/>
      <c r="K98" s="259"/>
      <c r="L98" s="226" t="str">
        <f>IF(J98="Duplex",VLOOKUP(M98,'Características dos Cabos MX'!$C$12:$I$14,7),(IF(J98="Triplex",VLOOKUP(M98,'Características dos Cabos MX'!$C$15:$J$20,8),(IF(J98="Quadruplex",VLOOKUP(M98,'Características dos Cabos MX'!$C$21:$K$27,9),(IF(J98="13",VLOOKUP(M98,'Características dos Cabos MX'!$C$15:$L$20,10),"")))))))</f>
        <v/>
      </c>
      <c r="M98" s="410" t="str">
        <f t="shared" si="25"/>
        <v/>
      </c>
      <c r="N98" s="444"/>
      <c r="O98" s="219" t="str">
        <f t="shared" si="23"/>
        <v/>
      </c>
      <c r="P98" s="220" t="str">
        <f t="shared" si="22"/>
        <v/>
      </c>
      <c r="Q98" s="220" t="str">
        <f t="shared" si="26"/>
        <v/>
      </c>
      <c r="R98" s="221" t="str">
        <f>IF(J98="Duplex",VLOOKUP(M98,'Características dos Cabos MX'!$C$12:$I$14,5),(IF(J98="Triplex",VLOOKUP(M98,'Características dos Cabos MX'!$C$15:$J$20,5),(IF(J98="Quadruplex",VLOOKUP(M98,'Características dos Cabos MX'!$C$21:$K$27,5),(IF(J98="13",VLOOKUP(M98,'Características dos Cabos MX'!$C$15:$L$20,5),"")))))))</f>
        <v/>
      </c>
      <c r="S98" s="221" t="str">
        <f>IF(J98="Duplex",VLOOKUP(M98,'Características dos Cabos MX'!$C$12:$I$14,6),(IF(J98="Triplex",VLOOKUP(M98,'Características dos Cabos MX'!$C$15:$J$20,6),(IF(J98="Quadruplex",VLOOKUP(M98,'Características dos Cabos MX'!$C$21:$K$27,6),(IF(J98="13",VLOOKUP(M98,'Características dos Cabos MX'!$C$15:$L$20,6),"")))))))</f>
        <v/>
      </c>
      <c r="T98" s="222" t="str">
        <f t="shared" si="18"/>
        <v/>
      </c>
      <c r="U98" s="223" t="str">
        <f>IF(J98="Duplex",VLOOKUP(M98,'Características dos Cabos MX'!$C$12:$I$14,2),(IF(J98="Triplex",VLOOKUP(M98,'Características dos Cabos MX'!$C$15:$J$20,2),(IF(J98="Quadruplex",VLOOKUP(M98,'Características dos Cabos MX'!$C$21:$K$27,2),(IF(J98="13",VLOOKUP(M98,'Características dos Cabos MX'!$C$15:$L$20,2),"")))))))</f>
        <v/>
      </c>
      <c r="V98" s="221" t="str">
        <f>IF(J98="Duplex",VLOOKUP(M98,'Características dos Cabos MX'!$C$12:$I$14,3),(IF(J98="Triplex",VLOOKUP(M98,'Características dos Cabos MX'!$C$15:$J$20,3),(IF(J98="Quadruplex",VLOOKUP(M98,'Características dos Cabos MX'!$C$21:$K$27,3),(IF(J98="13",VLOOKUP(M98,'Características dos Cabos MX'!$C$15:$L$20,3),"")))))))</f>
        <v/>
      </c>
      <c r="W98" s="224" t="str">
        <f t="shared" si="19"/>
        <v/>
      </c>
      <c r="X98" s="224" t="str">
        <f t="shared" si="20"/>
        <v/>
      </c>
      <c r="Y98" s="225" t="str">
        <f t="shared" si="21"/>
        <v/>
      </c>
      <c r="AA98" s="298">
        <f t="shared" si="24"/>
        <v>0</v>
      </c>
      <c r="AB98" s="298">
        <f t="shared" si="27"/>
        <v>0</v>
      </c>
      <c r="AC98" s="284"/>
      <c r="AE98" s="299" t="str">
        <f t="shared" si="13"/>
        <v/>
      </c>
      <c r="AF98" s="334">
        <f t="shared" si="14"/>
        <v>0</v>
      </c>
    </row>
    <row r="99" spans="1:32" ht="15" customHeight="1" x14ac:dyDescent="0.25">
      <c r="A99" s="575"/>
      <c r="B99" s="564"/>
      <c r="C99" s="432"/>
      <c r="D99" s="433"/>
      <c r="E99" s="438"/>
      <c r="F99" s="216" t="str">
        <f t="shared" si="15"/>
        <v/>
      </c>
      <c r="G99" s="451"/>
      <c r="H99" s="217" t="str">
        <f>IF(AND(E99="",G99=""),"",SUM(F99:G105))</f>
        <v/>
      </c>
      <c r="I99" s="218"/>
      <c r="J99" s="259"/>
      <c r="K99" s="259"/>
      <c r="L99" s="226" t="str">
        <f>IF(J99="Duplex",VLOOKUP(M99,'Características dos Cabos MX'!$C$12:$I$14,7),(IF(J99="Triplex",VLOOKUP(M99,'Características dos Cabos MX'!$C$15:$J$20,8),(IF(J99="Quadruplex",VLOOKUP(M99,'Características dos Cabos MX'!$C$21:$K$27,9),(IF(J99="13",VLOOKUP(M99,'Características dos Cabos MX'!$C$15:$L$20,10),"")))))))</f>
        <v/>
      </c>
      <c r="M99" s="410" t="str">
        <f t="shared" si="25"/>
        <v/>
      </c>
      <c r="N99" s="444"/>
      <c r="O99" s="219" t="str">
        <f t="shared" si="23"/>
        <v/>
      </c>
      <c r="P99" s="220" t="str">
        <f t="shared" si="22"/>
        <v/>
      </c>
      <c r="Q99" s="220" t="str">
        <f t="shared" si="26"/>
        <v/>
      </c>
      <c r="R99" s="221" t="str">
        <f>IF(J99="Duplex",VLOOKUP(M99,'Características dos Cabos MX'!$C$12:$I$14,5),(IF(J99="Triplex",VLOOKUP(M99,'Características dos Cabos MX'!$C$15:$J$20,5),(IF(J99="Quadruplex",VLOOKUP(M99,'Características dos Cabos MX'!$C$21:$K$27,5),(IF(J99="13",VLOOKUP(M99,'Características dos Cabos MX'!$C$15:$L$20,5),"")))))))</f>
        <v/>
      </c>
      <c r="S99" s="221" t="str">
        <f>IF(J99="Duplex",VLOOKUP(M99,'Características dos Cabos MX'!$C$12:$I$14,6),(IF(J99="Triplex",VLOOKUP(M99,'Características dos Cabos MX'!$C$15:$J$20,6),(IF(J99="Quadruplex",VLOOKUP(M99,'Características dos Cabos MX'!$C$21:$K$27,6),(IF(J99="13",VLOOKUP(M99,'Características dos Cabos MX'!$C$15:$L$20,6),"")))))))</f>
        <v/>
      </c>
      <c r="T99" s="222" t="str">
        <f t="shared" si="18"/>
        <v/>
      </c>
      <c r="U99" s="223" t="str">
        <f>IF(J99="Duplex",VLOOKUP(M99,'Características dos Cabos MX'!$C$12:$I$14,2),(IF(J99="Triplex",VLOOKUP(M99,'Características dos Cabos MX'!$C$15:$J$20,2),(IF(J99="Quadruplex",VLOOKUP(M99,'Características dos Cabos MX'!$C$21:$K$27,2),(IF(J99="13",VLOOKUP(M99,'Características dos Cabos MX'!$C$15:$L$20,2),"")))))))</f>
        <v/>
      </c>
      <c r="V99" s="221" t="str">
        <f>IF(J99="Duplex",VLOOKUP(M99,'Características dos Cabos MX'!$C$12:$I$14,3),(IF(J99="Triplex",VLOOKUP(M99,'Características dos Cabos MX'!$C$15:$J$20,3),(IF(J99="Quadruplex",VLOOKUP(M99,'Características dos Cabos MX'!$C$21:$K$27,3),(IF(J99="13",VLOOKUP(M99,'Características dos Cabos MX'!$C$15:$L$20,3),"")))))))</f>
        <v/>
      </c>
      <c r="W99" s="224" t="str">
        <f t="shared" si="19"/>
        <v/>
      </c>
      <c r="X99" s="224" t="str">
        <f t="shared" si="20"/>
        <v/>
      </c>
      <c r="Y99" s="225" t="str">
        <f t="shared" si="21"/>
        <v/>
      </c>
      <c r="AA99" s="298">
        <f t="shared" si="24"/>
        <v>0</v>
      </c>
      <c r="AB99" s="298">
        <f t="shared" si="27"/>
        <v>0</v>
      </c>
      <c r="AC99" s="284"/>
      <c r="AE99" s="299" t="str">
        <f t="shared" si="13"/>
        <v/>
      </c>
      <c r="AF99" s="334">
        <f t="shared" si="14"/>
        <v>0</v>
      </c>
    </row>
    <row r="100" spans="1:32" ht="15" customHeight="1" x14ac:dyDescent="0.25">
      <c r="A100" s="575"/>
      <c r="B100" s="564"/>
      <c r="C100" s="432"/>
      <c r="D100" s="433"/>
      <c r="E100" s="438"/>
      <c r="F100" s="216" t="str">
        <f t="shared" si="15"/>
        <v/>
      </c>
      <c r="G100" s="451"/>
      <c r="H100" s="217" t="str">
        <f>IF(AND(E100="",G100=""),"",SUM(F100:G105))</f>
        <v/>
      </c>
      <c r="I100" s="218"/>
      <c r="J100" s="259"/>
      <c r="K100" s="259"/>
      <c r="L100" s="226" t="str">
        <f>IF(J100="Duplex",VLOOKUP(M100,'Características dos Cabos MX'!$C$12:$I$14,7),(IF(J100="Triplex",VLOOKUP(M100,'Características dos Cabos MX'!$C$15:$J$20,8),(IF(J100="Quadruplex",VLOOKUP(M100,'Características dos Cabos MX'!$C$21:$K$27,9),(IF(J100="13",VLOOKUP(M100,'Características dos Cabos MX'!$C$15:$L$20,10),"")))))))</f>
        <v/>
      </c>
      <c r="M100" s="410" t="str">
        <f t="shared" si="25"/>
        <v/>
      </c>
      <c r="N100" s="444"/>
      <c r="O100" s="219" t="str">
        <f t="shared" si="23"/>
        <v/>
      </c>
      <c r="P100" s="220" t="str">
        <f t="shared" si="22"/>
        <v/>
      </c>
      <c r="Q100" s="220" t="str">
        <f t="shared" si="26"/>
        <v/>
      </c>
      <c r="R100" s="221" t="str">
        <f>IF(J100="Duplex",VLOOKUP(M100,'Características dos Cabos MX'!$C$12:$I$14,5),(IF(J100="Triplex",VLOOKUP(M100,'Características dos Cabos MX'!$C$15:$J$20,5),(IF(J100="Quadruplex",VLOOKUP(M100,'Características dos Cabos MX'!$C$21:$K$27,5),(IF(J100="13",VLOOKUP(M100,'Características dos Cabos MX'!$C$15:$L$20,5),"")))))))</f>
        <v/>
      </c>
      <c r="S100" s="221" t="str">
        <f>IF(J100="Duplex",VLOOKUP(M100,'Características dos Cabos MX'!$C$12:$I$14,6),(IF(J100="Triplex",VLOOKUP(M100,'Características dos Cabos MX'!$C$15:$J$20,6),(IF(J100="Quadruplex",VLOOKUP(M100,'Características dos Cabos MX'!$C$21:$K$27,6),(IF(J100="13",VLOOKUP(M100,'Características dos Cabos MX'!$C$15:$L$20,6),"")))))))</f>
        <v/>
      </c>
      <c r="T100" s="222" t="str">
        <f t="shared" si="18"/>
        <v/>
      </c>
      <c r="U100" s="223" t="str">
        <f>IF(J100="Duplex",VLOOKUP(M100,'Características dos Cabos MX'!$C$12:$I$14,2),(IF(J100="Triplex",VLOOKUP(M100,'Características dos Cabos MX'!$C$15:$J$20,2),(IF(J100="Quadruplex",VLOOKUP(M100,'Características dos Cabos MX'!$C$21:$K$27,2),(IF(J100="13",VLOOKUP(M100,'Características dos Cabos MX'!$C$15:$L$20,2),"")))))))</f>
        <v/>
      </c>
      <c r="V100" s="221" t="str">
        <f>IF(J100="Duplex",VLOOKUP(M100,'Características dos Cabos MX'!$C$12:$I$14,3),(IF(J100="Triplex",VLOOKUP(M100,'Características dos Cabos MX'!$C$15:$J$20,3),(IF(J100="Quadruplex",VLOOKUP(M100,'Características dos Cabos MX'!$C$21:$K$27,3),(IF(J100="13",VLOOKUP(M100,'Características dos Cabos MX'!$C$15:$L$20,3),"")))))))</f>
        <v/>
      </c>
      <c r="W100" s="224" t="str">
        <f t="shared" si="19"/>
        <v/>
      </c>
      <c r="X100" s="224" t="str">
        <f t="shared" si="20"/>
        <v/>
      </c>
      <c r="Y100" s="225" t="str">
        <f t="shared" si="21"/>
        <v/>
      </c>
      <c r="AA100" s="298">
        <f t="shared" si="24"/>
        <v>0</v>
      </c>
      <c r="AB100" s="298">
        <f t="shared" si="27"/>
        <v>0</v>
      </c>
      <c r="AC100" s="284"/>
      <c r="AE100" s="299" t="str">
        <f t="shared" si="13"/>
        <v/>
      </c>
      <c r="AF100" s="334">
        <f t="shared" si="14"/>
        <v>0</v>
      </c>
    </row>
    <row r="101" spans="1:32" ht="15" customHeight="1" x14ac:dyDescent="0.25">
      <c r="A101" s="575"/>
      <c r="B101" s="564"/>
      <c r="C101" s="432"/>
      <c r="D101" s="433"/>
      <c r="E101" s="438"/>
      <c r="F101" s="216" t="str">
        <f t="shared" si="15"/>
        <v/>
      </c>
      <c r="G101" s="451"/>
      <c r="H101" s="217" t="str">
        <f>IF(AND(E101="",G101=""),"",SUM(F101:G105))</f>
        <v/>
      </c>
      <c r="I101" s="218"/>
      <c r="J101" s="259"/>
      <c r="K101" s="259"/>
      <c r="L101" s="226" t="str">
        <f>IF(J101="Duplex",VLOOKUP(M101,'Características dos Cabos MX'!$C$12:$I$14,7),(IF(J101="Triplex",VLOOKUP(M101,'Características dos Cabos MX'!$C$15:$J$20,8),(IF(J101="Quadruplex",VLOOKUP(M101,'Características dos Cabos MX'!$C$21:$K$27,9),(IF(J101="13",VLOOKUP(M101,'Características dos Cabos MX'!$C$15:$L$20,10),"")))))))</f>
        <v/>
      </c>
      <c r="M101" s="410" t="str">
        <f t="shared" si="25"/>
        <v/>
      </c>
      <c r="N101" s="444"/>
      <c r="O101" s="219" t="str">
        <f t="shared" si="23"/>
        <v/>
      </c>
      <c r="P101" s="220" t="str">
        <f t="shared" si="22"/>
        <v/>
      </c>
      <c r="Q101" s="220" t="str">
        <f t="shared" si="26"/>
        <v/>
      </c>
      <c r="R101" s="221" t="str">
        <f>IF(J101="Duplex",VLOOKUP(M101,'Características dos Cabos MX'!$C$12:$I$14,5),(IF(J101="Triplex",VLOOKUP(M101,'Características dos Cabos MX'!$C$15:$J$20,5),(IF(J101="Quadruplex",VLOOKUP(M101,'Características dos Cabos MX'!$C$21:$K$27,5),(IF(J101="13",VLOOKUP(M101,'Características dos Cabos MX'!$C$15:$L$20,5),"")))))))</f>
        <v/>
      </c>
      <c r="S101" s="221" t="str">
        <f>IF(J101="Duplex",VLOOKUP(M101,'Características dos Cabos MX'!$C$12:$I$14,6),(IF(J101="Triplex",VLOOKUP(M101,'Características dos Cabos MX'!$C$15:$J$20,6),(IF(J101="Quadruplex",VLOOKUP(M101,'Características dos Cabos MX'!$C$21:$K$27,6),(IF(J101="13",VLOOKUP(M101,'Características dos Cabos MX'!$C$15:$L$20,6),"")))))))</f>
        <v/>
      </c>
      <c r="T101" s="222" t="str">
        <f t="shared" si="18"/>
        <v/>
      </c>
      <c r="U101" s="223" t="str">
        <f>IF(J101="Duplex",VLOOKUP(M101,'Características dos Cabos MX'!$C$12:$I$14,2),(IF(J101="Triplex",VLOOKUP(M101,'Características dos Cabos MX'!$C$15:$J$20,2),(IF(J101="Quadruplex",VLOOKUP(M101,'Características dos Cabos MX'!$C$21:$K$27,2),(IF(J101="13",VLOOKUP(M101,'Características dos Cabos MX'!$C$15:$L$20,2),"")))))))</f>
        <v/>
      </c>
      <c r="V101" s="221" t="str">
        <f>IF(J101="Duplex",VLOOKUP(M101,'Características dos Cabos MX'!$C$12:$I$14,3),(IF(J101="Triplex",VLOOKUP(M101,'Características dos Cabos MX'!$C$15:$J$20,3),(IF(J101="Quadruplex",VLOOKUP(M101,'Características dos Cabos MX'!$C$21:$K$27,3),(IF(J101="13",VLOOKUP(M101,'Características dos Cabos MX'!$C$15:$L$20,3),"")))))))</f>
        <v/>
      </c>
      <c r="W101" s="224" t="str">
        <f t="shared" si="19"/>
        <v/>
      </c>
      <c r="X101" s="224" t="str">
        <f t="shared" si="20"/>
        <v/>
      </c>
      <c r="Y101" s="225" t="str">
        <f t="shared" si="21"/>
        <v/>
      </c>
      <c r="AA101" s="298">
        <f t="shared" si="24"/>
        <v>0</v>
      </c>
      <c r="AB101" s="298">
        <f t="shared" si="27"/>
        <v>0</v>
      </c>
      <c r="AC101" s="284"/>
      <c r="AE101" s="299" t="str">
        <f t="shared" si="13"/>
        <v/>
      </c>
      <c r="AF101" s="334">
        <f t="shared" si="14"/>
        <v>0</v>
      </c>
    </row>
    <row r="102" spans="1:32" ht="15" customHeight="1" x14ac:dyDescent="0.25">
      <c r="A102" s="575"/>
      <c r="B102" s="564"/>
      <c r="C102" s="432"/>
      <c r="D102" s="433"/>
      <c r="E102" s="438"/>
      <c r="F102" s="216" t="str">
        <f t="shared" si="15"/>
        <v/>
      </c>
      <c r="G102" s="451"/>
      <c r="H102" s="217" t="str">
        <f>IF(AND(E102="",G102=""),"",SUM(F102:G105))</f>
        <v/>
      </c>
      <c r="I102" s="218"/>
      <c r="J102" s="259"/>
      <c r="K102" s="259"/>
      <c r="L102" s="226" t="str">
        <f>IF(J102="Duplex",VLOOKUP(M102,'Características dos Cabos MX'!$C$12:$I$14,7),(IF(J102="Triplex",VLOOKUP(M102,'Características dos Cabos MX'!$C$15:$J$20,8),(IF(J102="Quadruplex",VLOOKUP(M102,'Características dos Cabos MX'!$C$21:$K$27,9),(IF(J102="13",VLOOKUP(M102,'Características dos Cabos MX'!$C$15:$L$20,10),"")))))))</f>
        <v/>
      </c>
      <c r="M102" s="410" t="str">
        <f t="shared" si="25"/>
        <v/>
      </c>
      <c r="N102" s="444"/>
      <c r="O102" s="219" t="str">
        <f t="shared" si="23"/>
        <v/>
      </c>
      <c r="P102" s="220" t="str">
        <f t="shared" si="22"/>
        <v/>
      </c>
      <c r="Q102" s="220" t="str">
        <f t="shared" si="26"/>
        <v/>
      </c>
      <c r="R102" s="221" t="str">
        <f>IF(J102="Duplex",VLOOKUP(M102,'Características dos Cabos MX'!$C$12:$I$14,5),(IF(J102="Triplex",VLOOKUP(M102,'Características dos Cabos MX'!$C$15:$J$20,5),(IF(J102="Quadruplex",VLOOKUP(M102,'Características dos Cabos MX'!$C$21:$K$27,5),(IF(J102="13",VLOOKUP(M102,'Características dos Cabos MX'!$C$15:$L$20,5),"")))))))</f>
        <v/>
      </c>
      <c r="S102" s="221" t="str">
        <f>IF(J102="Duplex",VLOOKUP(M102,'Características dos Cabos MX'!$C$12:$I$14,6),(IF(J102="Triplex",VLOOKUP(M102,'Características dos Cabos MX'!$C$15:$J$20,6),(IF(J102="Quadruplex",VLOOKUP(M102,'Características dos Cabos MX'!$C$21:$K$27,6),(IF(J102="13",VLOOKUP(M102,'Características dos Cabos MX'!$C$15:$L$20,6),"")))))))</f>
        <v/>
      </c>
      <c r="T102" s="222" t="str">
        <f t="shared" si="18"/>
        <v/>
      </c>
      <c r="U102" s="223" t="str">
        <f>IF(J102="Duplex",VLOOKUP(M102,'Características dos Cabos MX'!$C$12:$I$14,2),(IF(J102="Triplex",VLOOKUP(M102,'Características dos Cabos MX'!$C$15:$J$20,2),(IF(J102="Quadruplex",VLOOKUP(M102,'Características dos Cabos MX'!$C$21:$K$27,2),(IF(J102="13",VLOOKUP(M102,'Características dos Cabos MX'!$C$15:$L$20,2),"")))))))</f>
        <v/>
      </c>
      <c r="V102" s="221" t="str">
        <f>IF(J102="Duplex",VLOOKUP(M102,'Características dos Cabos MX'!$C$12:$I$14,3),(IF(J102="Triplex",VLOOKUP(M102,'Características dos Cabos MX'!$C$15:$J$20,3),(IF(J102="Quadruplex",VLOOKUP(M102,'Características dos Cabos MX'!$C$21:$K$27,3),(IF(J102="13",VLOOKUP(M102,'Características dos Cabos MX'!$C$15:$L$20,3),"")))))))</f>
        <v/>
      </c>
      <c r="W102" s="224" t="str">
        <f t="shared" si="19"/>
        <v/>
      </c>
      <c r="X102" s="224" t="str">
        <f t="shared" si="20"/>
        <v/>
      </c>
      <c r="Y102" s="225" t="str">
        <f t="shared" si="21"/>
        <v/>
      </c>
      <c r="AA102" s="298">
        <f t="shared" si="24"/>
        <v>0</v>
      </c>
      <c r="AB102" s="298">
        <f t="shared" si="27"/>
        <v>0</v>
      </c>
      <c r="AC102" s="284"/>
      <c r="AE102" s="299" t="str">
        <f t="shared" si="13"/>
        <v/>
      </c>
      <c r="AF102" s="334">
        <f t="shared" si="14"/>
        <v>0</v>
      </c>
    </row>
    <row r="103" spans="1:32" ht="15" customHeight="1" x14ac:dyDescent="0.25">
      <c r="A103" s="575"/>
      <c r="B103" s="564"/>
      <c r="C103" s="432"/>
      <c r="D103" s="433"/>
      <c r="E103" s="438"/>
      <c r="F103" s="216" t="str">
        <f t="shared" si="15"/>
        <v/>
      </c>
      <c r="G103" s="451"/>
      <c r="H103" s="217" t="str">
        <f>IF(AND(E103="",G103=""),"",SUM(F103:G105))</f>
        <v/>
      </c>
      <c r="I103" s="218"/>
      <c r="J103" s="259"/>
      <c r="K103" s="259"/>
      <c r="L103" s="226" t="str">
        <f>IF(J103="Duplex",VLOOKUP(M103,'Características dos Cabos MX'!$C$12:$I$14,7),(IF(J103="Triplex",VLOOKUP(M103,'Características dos Cabos MX'!$C$15:$J$20,8),(IF(J103="Quadruplex",VLOOKUP(M103,'Características dos Cabos MX'!$C$21:$K$27,9),(IF(J103="13",VLOOKUP(M103,'Características dos Cabos MX'!$C$15:$L$20,10),"")))))))</f>
        <v/>
      </c>
      <c r="M103" s="410" t="str">
        <f t="shared" si="25"/>
        <v/>
      </c>
      <c r="N103" s="444"/>
      <c r="O103" s="219" t="str">
        <f t="shared" si="23"/>
        <v/>
      </c>
      <c r="P103" s="220" t="str">
        <f t="shared" si="22"/>
        <v/>
      </c>
      <c r="Q103" s="220" t="str">
        <f t="shared" si="26"/>
        <v/>
      </c>
      <c r="R103" s="221" t="str">
        <f>IF(J103="Duplex",VLOOKUP(M103,'Características dos Cabos MX'!$C$12:$I$14,5),(IF(J103="Triplex",VLOOKUP(M103,'Características dos Cabos MX'!$C$15:$J$20,5),(IF(J103="Quadruplex",VLOOKUP(M103,'Características dos Cabos MX'!$C$21:$K$27,5),(IF(J103="13",VLOOKUP(M103,'Características dos Cabos MX'!$C$15:$L$20,5),"")))))))</f>
        <v/>
      </c>
      <c r="S103" s="221" t="str">
        <f>IF(J103="Duplex",VLOOKUP(M103,'Características dos Cabos MX'!$C$12:$I$14,6),(IF(J103="Triplex",VLOOKUP(M103,'Características dos Cabos MX'!$C$15:$J$20,6),(IF(J103="Quadruplex",VLOOKUP(M103,'Características dos Cabos MX'!$C$21:$K$27,6),(IF(J103="13",VLOOKUP(M103,'Características dos Cabos MX'!$C$15:$L$20,6),"")))))))</f>
        <v/>
      </c>
      <c r="T103" s="222" t="str">
        <f t="shared" si="18"/>
        <v/>
      </c>
      <c r="U103" s="223" t="str">
        <f>IF(J103="Duplex",VLOOKUP(M103,'Características dos Cabos MX'!$C$12:$I$14,2),(IF(J103="Triplex",VLOOKUP(M103,'Características dos Cabos MX'!$C$15:$J$20,2),(IF(J103="Quadruplex",VLOOKUP(M103,'Características dos Cabos MX'!$C$21:$K$27,2),(IF(J103="13",VLOOKUP(M103,'Características dos Cabos MX'!$C$15:$L$20,2),"")))))))</f>
        <v/>
      </c>
      <c r="V103" s="221" t="str">
        <f>IF(J103="Duplex",VLOOKUP(M103,'Características dos Cabos MX'!$C$12:$I$14,3),(IF(J103="Triplex",VLOOKUP(M103,'Características dos Cabos MX'!$C$15:$J$20,3),(IF(J103="Quadruplex",VLOOKUP(M103,'Características dos Cabos MX'!$C$21:$K$27,3),(IF(J103="13",VLOOKUP(M103,'Características dos Cabos MX'!$C$15:$L$20,3),"")))))))</f>
        <v/>
      </c>
      <c r="W103" s="224" t="str">
        <f t="shared" si="19"/>
        <v/>
      </c>
      <c r="X103" s="224" t="str">
        <f t="shared" si="20"/>
        <v/>
      </c>
      <c r="Y103" s="225" t="str">
        <f t="shared" si="21"/>
        <v/>
      </c>
      <c r="AA103" s="298">
        <f t="shared" si="24"/>
        <v>0</v>
      </c>
      <c r="AB103" s="298">
        <f t="shared" si="27"/>
        <v>0</v>
      </c>
      <c r="AC103" s="284"/>
      <c r="AE103" s="299" t="str">
        <f t="shared" si="13"/>
        <v/>
      </c>
      <c r="AF103" s="334">
        <f t="shared" si="14"/>
        <v>0</v>
      </c>
    </row>
    <row r="104" spans="1:32" ht="15" customHeight="1" x14ac:dyDescent="0.25">
      <c r="A104" s="575"/>
      <c r="B104" s="564"/>
      <c r="C104" s="432"/>
      <c r="D104" s="433"/>
      <c r="E104" s="438"/>
      <c r="F104" s="216" t="str">
        <f t="shared" si="15"/>
        <v/>
      </c>
      <c r="G104" s="451"/>
      <c r="H104" s="217" t="str">
        <f>IF(AND(E104="",G104=""),"",SUM(F104:G105))</f>
        <v/>
      </c>
      <c r="I104" s="218"/>
      <c r="J104" s="259"/>
      <c r="K104" s="259"/>
      <c r="L104" s="226" t="str">
        <f>IF(J104="Duplex",VLOOKUP(M104,'Características dos Cabos MX'!$C$12:$I$14,7),(IF(J104="Triplex",VLOOKUP(M104,'Características dos Cabos MX'!$C$15:$J$20,8),(IF(J104="Quadruplex",VLOOKUP(M104,'Características dos Cabos MX'!$C$21:$K$27,9),(IF(J104="13",VLOOKUP(M104,'Características dos Cabos MX'!$C$15:$L$20,10),"")))))))</f>
        <v/>
      </c>
      <c r="M104" s="410" t="str">
        <f t="shared" si="25"/>
        <v/>
      </c>
      <c r="N104" s="444"/>
      <c r="O104" s="219" t="str">
        <f t="shared" si="23"/>
        <v/>
      </c>
      <c r="P104" s="220" t="str">
        <f t="shared" si="22"/>
        <v/>
      </c>
      <c r="Q104" s="220" t="str">
        <f t="shared" si="26"/>
        <v/>
      </c>
      <c r="R104" s="221" t="str">
        <f>IF(J104="Duplex",VLOOKUP(M104,'Características dos Cabos MX'!$C$12:$I$14,5),(IF(J104="Triplex",VLOOKUP(M104,'Características dos Cabos MX'!$C$15:$J$20,5),(IF(J104="Quadruplex",VLOOKUP(M104,'Características dos Cabos MX'!$C$21:$K$27,5),(IF(J104="13",VLOOKUP(M104,'Características dos Cabos MX'!$C$15:$L$20,5),"")))))))</f>
        <v/>
      </c>
      <c r="S104" s="221" t="str">
        <f>IF(J104="Duplex",VLOOKUP(M104,'Características dos Cabos MX'!$C$12:$I$14,6),(IF(J104="Triplex",VLOOKUP(M104,'Características dos Cabos MX'!$C$15:$J$20,6),(IF(J104="Quadruplex",VLOOKUP(M104,'Características dos Cabos MX'!$C$21:$K$27,6),(IF(J104="13",VLOOKUP(M104,'Características dos Cabos MX'!$C$15:$L$20,6),"")))))))</f>
        <v/>
      </c>
      <c r="T104" s="222" t="str">
        <f t="shared" si="18"/>
        <v/>
      </c>
      <c r="U104" s="223" t="str">
        <f>IF(J104="Duplex",VLOOKUP(M104,'Características dos Cabos MX'!$C$12:$I$14,2),(IF(J104="Triplex",VLOOKUP(M104,'Características dos Cabos MX'!$C$15:$J$20,2),(IF(J104="Quadruplex",VLOOKUP(M104,'Características dos Cabos MX'!$C$21:$K$27,2),(IF(J104="13",VLOOKUP(M104,'Características dos Cabos MX'!$C$15:$L$20,2),"")))))))</f>
        <v/>
      </c>
      <c r="V104" s="221" t="str">
        <f>IF(J104="Duplex",VLOOKUP(M104,'Características dos Cabos MX'!$C$12:$I$14,3),(IF(J104="Triplex",VLOOKUP(M104,'Características dos Cabos MX'!$C$15:$J$20,3),(IF(J104="Quadruplex",VLOOKUP(M104,'Características dos Cabos MX'!$C$21:$K$27,3),(IF(J104="13",VLOOKUP(M104,'Características dos Cabos MX'!$C$15:$L$20,3),"")))))))</f>
        <v/>
      </c>
      <c r="W104" s="224" t="str">
        <f t="shared" si="19"/>
        <v/>
      </c>
      <c r="X104" s="224" t="str">
        <f t="shared" si="20"/>
        <v/>
      </c>
      <c r="Y104" s="225" t="str">
        <f t="shared" si="21"/>
        <v/>
      </c>
      <c r="AA104" s="298">
        <f t="shared" si="24"/>
        <v>0</v>
      </c>
      <c r="AB104" s="298">
        <f t="shared" si="27"/>
        <v>0</v>
      </c>
      <c r="AC104" s="284"/>
      <c r="AE104" s="299" t="str">
        <f t="shared" si="13"/>
        <v/>
      </c>
      <c r="AF104" s="334">
        <f t="shared" si="14"/>
        <v>0</v>
      </c>
    </row>
    <row r="105" spans="1:32" ht="15" customHeight="1" thickBot="1" x14ac:dyDescent="0.3">
      <c r="A105" s="575"/>
      <c r="B105" s="565"/>
      <c r="C105" s="434"/>
      <c r="D105" s="435"/>
      <c r="E105" s="434"/>
      <c r="F105" s="228" t="str">
        <f t="shared" si="15"/>
        <v/>
      </c>
      <c r="G105" s="452"/>
      <c r="H105" s="229" t="str">
        <f>IF(AND(E105="",G105=""),"",SUM(F105:G105))</f>
        <v/>
      </c>
      <c r="I105" s="230"/>
      <c r="J105" s="260"/>
      <c r="K105" s="260"/>
      <c r="L105" s="231" t="str">
        <f>IF(J105="Duplex",VLOOKUP(M105,'Características dos Cabos MX'!$C$12:$I$14,7),(IF(J105="Triplex",VLOOKUP(M105,'Características dos Cabos MX'!$C$15:$J$20,8),(IF(J105="Quadruplex",VLOOKUP(M105,'Características dos Cabos MX'!$C$21:$K$27,9),(IF(J105="13",VLOOKUP(M105,'Características dos Cabos MX'!$C$15:$L$20,10),"")))))))</f>
        <v/>
      </c>
      <c r="M105" s="412" t="str">
        <f t="shared" si="25"/>
        <v/>
      </c>
      <c r="N105" s="445"/>
      <c r="O105" s="232" t="str">
        <f t="shared" si="23"/>
        <v/>
      </c>
      <c r="P105" s="233" t="str">
        <f t="shared" si="22"/>
        <v/>
      </c>
      <c r="Q105" s="233" t="str">
        <f t="shared" si="26"/>
        <v/>
      </c>
      <c r="R105" s="234" t="str">
        <f>IF(J105="Duplex",VLOOKUP(M105,'Características dos Cabos MX'!$C$12:$I$14,5),(IF(J105="Triplex",VLOOKUP(M105,'Características dos Cabos MX'!$C$15:$J$20,5),(IF(J105="Quadruplex",VLOOKUP(M105,'Características dos Cabos MX'!$C$21:$K$27,5),(IF(J105="13",VLOOKUP(M105,'Características dos Cabos MX'!$C$15:$L$20,5),"")))))))</f>
        <v/>
      </c>
      <c r="S105" s="234" t="str">
        <f>IF(J105="Duplex",VLOOKUP(M105,'Características dos Cabos MX'!$C$12:$I$14,6),(IF(J105="Triplex",VLOOKUP(M105,'Características dos Cabos MX'!$C$15:$J$20,6),(IF(J105="Quadruplex",VLOOKUP(M105,'Características dos Cabos MX'!$C$21:$K$27,6),(IF(J105="13",VLOOKUP(M105,'Características dos Cabos MX'!$C$15:$L$20,6),"")))))))</f>
        <v/>
      </c>
      <c r="T105" s="235" t="str">
        <f t="shared" si="18"/>
        <v/>
      </c>
      <c r="U105" s="236" t="str">
        <f>IF(J105="Duplex",VLOOKUP(M105,'Características dos Cabos MX'!$C$12:$I$14,2),(IF(J105="Triplex",VLOOKUP(M105,'Características dos Cabos MX'!$C$15:$J$20,2),(IF(J105="Quadruplex",VLOOKUP(M105,'Características dos Cabos MX'!$C$21:$K$27,2),(IF(J105="13",VLOOKUP(M105,'Características dos Cabos MX'!$C$15:$L$20,2),"")))))))</f>
        <v/>
      </c>
      <c r="V105" s="234" t="str">
        <f>IF(J105="Duplex",VLOOKUP(M105,'Características dos Cabos MX'!$C$12:$I$14,3),(IF(J105="Triplex",VLOOKUP(M105,'Características dos Cabos MX'!$C$15:$J$20,3),(IF(J105="Quadruplex",VLOOKUP(M105,'Características dos Cabos MX'!$C$21:$K$27,3),(IF(J105="13",VLOOKUP(M105,'Características dos Cabos MX'!$C$15:$L$20,3),"")))))))</f>
        <v/>
      </c>
      <c r="W105" s="237" t="str">
        <f t="shared" si="19"/>
        <v/>
      </c>
      <c r="X105" s="237" t="str">
        <f t="shared" si="20"/>
        <v/>
      </c>
      <c r="Y105" s="238" t="str">
        <f t="shared" si="21"/>
        <v/>
      </c>
      <c r="AA105" s="298">
        <f t="shared" si="24"/>
        <v>0</v>
      </c>
      <c r="AB105" s="298">
        <f t="shared" si="27"/>
        <v>0</v>
      </c>
      <c r="AC105" s="284"/>
      <c r="AE105" s="299" t="str">
        <f t="shared" si="13"/>
        <v/>
      </c>
      <c r="AF105" s="334">
        <f t="shared" si="14"/>
        <v>0</v>
      </c>
    </row>
    <row r="106" spans="1:32" ht="15" customHeight="1" thickTop="1" x14ac:dyDescent="0.25">
      <c r="A106" s="575"/>
      <c r="B106" s="563" t="str">
        <f>CONCATENATE("Ramal 7 - Derivando no ponto ",C106)</f>
        <v xml:space="preserve">Ramal 7 - Derivando no ponto </v>
      </c>
      <c r="C106" s="431"/>
      <c r="D106" s="436"/>
      <c r="E106" s="440"/>
      <c r="F106" s="239" t="str">
        <f t="shared" si="15"/>
        <v/>
      </c>
      <c r="G106" s="453"/>
      <c r="H106" s="240" t="str">
        <f>IF(AND(E106="",G106=""),"",SUM(F106:G115))</f>
        <v/>
      </c>
      <c r="I106" s="241"/>
      <c r="J106" s="262"/>
      <c r="K106" s="262"/>
      <c r="L106" s="242" t="str">
        <f>IF(J106="Duplex",VLOOKUP(M106,'Características dos Cabos MX'!$C$12:$I$14,7),(IF(J106="Triplex",VLOOKUP(M106,'Características dos Cabos MX'!$C$15:$J$20,8),(IF(J106="Quadruplex",VLOOKUP(M106,'Características dos Cabos MX'!$C$21:$K$27,9),(IF(J106="13",VLOOKUP(M106,'Características dos Cabos MX'!$C$15:$L$20,10),"")))))))</f>
        <v/>
      </c>
      <c r="M106" s="413" t="str">
        <f t="shared" si="25"/>
        <v/>
      </c>
      <c r="N106" s="446"/>
      <c r="O106" s="243" t="str">
        <f t="shared" si="23"/>
        <v/>
      </c>
      <c r="P106" s="244" t="str">
        <f>IF(O106="","",O106+VLOOKUP(C106,$D$20:$Q$106,13,FALSE))</f>
        <v/>
      </c>
      <c r="Q106" s="244" t="str">
        <f t="shared" si="26"/>
        <v/>
      </c>
      <c r="R106" s="245" t="str">
        <f>IF(J106="Duplex",VLOOKUP(M106,'Características dos Cabos MX'!$C$12:$I$14,5),(IF(J106="Triplex",VLOOKUP(M106,'Características dos Cabos MX'!$C$15:$J$20,5),(IF(J106="Quadruplex",VLOOKUP(M106,'Características dos Cabos MX'!$C$21:$K$27,5),(IF(J106="13",VLOOKUP(M106,'Características dos Cabos MX'!$C$15:$L$20,5),"")))))))</f>
        <v/>
      </c>
      <c r="S106" s="245" t="str">
        <f>IF(J106="Duplex",VLOOKUP(M106,'Características dos Cabos MX'!$C$12:$I$14,6),(IF(J106="Triplex",VLOOKUP(M106,'Características dos Cabos MX'!$C$15:$J$20,6),(IF(J106="Quadruplex",VLOOKUP(M106,'Características dos Cabos MX'!$C$21:$K$27,6),(IF(J106="13",VLOOKUP(M106,'Características dos Cabos MX'!$C$15:$L$20,6),"")))))))</f>
        <v/>
      </c>
      <c r="T106" s="246" t="str">
        <f t="shared" si="18"/>
        <v/>
      </c>
      <c r="U106" s="247" t="str">
        <f>IF(J106="Duplex",VLOOKUP(M106,'Características dos Cabos MX'!$C$12:$I$14,2),(IF(J106="Triplex",VLOOKUP(M106,'Características dos Cabos MX'!$C$15:$J$20,2),(IF(J106="Quadruplex",VLOOKUP(M106,'Características dos Cabos MX'!$C$21:$K$27,2),(IF(J106="13",VLOOKUP(M106,'Características dos Cabos MX'!$C$15:$L$20,2),"")))))))</f>
        <v/>
      </c>
      <c r="V106" s="245" t="str">
        <f>IF(J106="Duplex",VLOOKUP(M106,'Características dos Cabos MX'!$C$12:$I$14,3),(IF(J106="Triplex",VLOOKUP(M106,'Características dos Cabos MX'!$C$15:$J$20,3),(IF(J106="Quadruplex",VLOOKUP(M106,'Características dos Cabos MX'!$C$21:$K$27,3),(IF(J106="13",VLOOKUP(M106,'Características dos Cabos MX'!$C$15:$L$20,3),"")))))))</f>
        <v/>
      </c>
      <c r="W106" s="248" t="str">
        <f t="shared" si="19"/>
        <v/>
      </c>
      <c r="X106" s="248" t="str">
        <f t="shared" si="20"/>
        <v/>
      </c>
      <c r="Y106" s="249" t="str">
        <f t="shared" si="21"/>
        <v/>
      </c>
      <c r="Z106" s="121" t="str">
        <f>IF(O106="","",O106+VLOOKUP(C106,$D$20:$P$44,13,FALSE))</f>
        <v/>
      </c>
      <c r="AA106" s="298">
        <f t="shared" si="24"/>
        <v>0</v>
      </c>
      <c r="AB106" s="298">
        <f t="shared" si="27"/>
        <v>0</v>
      </c>
      <c r="AC106" s="284"/>
      <c r="AE106" s="299" t="str">
        <f t="shared" si="13"/>
        <v/>
      </c>
      <c r="AF106" s="334">
        <f t="shared" si="14"/>
        <v>0</v>
      </c>
    </row>
    <row r="107" spans="1:32" ht="15" customHeight="1" x14ac:dyDescent="0.25">
      <c r="A107" s="575"/>
      <c r="B107" s="564"/>
      <c r="C107" s="432"/>
      <c r="D107" s="433"/>
      <c r="E107" s="438"/>
      <c r="F107" s="216" t="str">
        <f t="shared" si="15"/>
        <v/>
      </c>
      <c r="G107" s="451"/>
      <c r="H107" s="217" t="str">
        <f>IF(AND(E107="",G107=""),"",SUM(F107:G115))</f>
        <v/>
      </c>
      <c r="I107" s="218"/>
      <c r="J107" s="259"/>
      <c r="K107" s="259"/>
      <c r="L107" s="226" t="str">
        <f>IF(J107="Duplex",VLOOKUP(M107,'Características dos Cabos MX'!$C$12:$I$14,7),(IF(J107="Triplex",VLOOKUP(M107,'Características dos Cabos MX'!$C$15:$J$20,8),(IF(J107="Quadruplex",VLOOKUP(M107,'Características dos Cabos MX'!$C$21:$K$27,9),(IF(J107="13",VLOOKUP(M107,'Características dos Cabos MX'!$C$15:$L$20,10),"")))))))</f>
        <v/>
      </c>
      <c r="M107" s="410" t="str">
        <f t="shared" si="25"/>
        <v/>
      </c>
      <c r="N107" s="444"/>
      <c r="O107" s="219" t="str">
        <f t="shared" si="23"/>
        <v/>
      </c>
      <c r="P107" s="220" t="str">
        <f t="shared" si="22"/>
        <v/>
      </c>
      <c r="Q107" s="220" t="str">
        <f t="shared" si="26"/>
        <v/>
      </c>
      <c r="R107" s="221" t="str">
        <f>IF(J107="Duplex",VLOOKUP(M107,'Características dos Cabos MX'!$C$12:$I$14,5),(IF(J107="Triplex",VLOOKUP(M107,'Características dos Cabos MX'!$C$15:$J$20,5),(IF(J107="Quadruplex",VLOOKUP(M107,'Características dos Cabos MX'!$C$21:$K$27,5),(IF(J107="13",VLOOKUP(M107,'Características dos Cabos MX'!$C$15:$L$20,5),"")))))))</f>
        <v/>
      </c>
      <c r="S107" s="221" t="str">
        <f>IF(J107="Duplex",VLOOKUP(M107,'Características dos Cabos MX'!$C$12:$I$14,6),(IF(J107="Triplex",VLOOKUP(M107,'Características dos Cabos MX'!$C$15:$J$20,6),(IF(J107="Quadruplex",VLOOKUP(M107,'Características dos Cabos MX'!$C$21:$K$27,6),(IF(J107="13",VLOOKUP(M107,'Características dos Cabos MX'!$C$15:$L$20,6),"")))))))</f>
        <v/>
      </c>
      <c r="T107" s="222" t="str">
        <f t="shared" si="18"/>
        <v/>
      </c>
      <c r="U107" s="223" t="str">
        <f>IF(J107="Duplex",VLOOKUP(M107,'Características dos Cabos MX'!$C$12:$I$14,2),(IF(J107="Triplex",VLOOKUP(M107,'Características dos Cabos MX'!$C$15:$J$20,2),(IF(J107="Quadruplex",VLOOKUP(M107,'Características dos Cabos MX'!$C$21:$K$27,2),(IF(J107="13",VLOOKUP(M107,'Características dos Cabos MX'!$C$15:$L$20,2),"")))))))</f>
        <v/>
      </c>
      <c r="V107" s="221" t="str">
        <f>IF(J107="Duplex",VLOOKUP(M107,'Características dos Cabos MX'!$C$12:$I$14,3),(IF(J107="Triplex",VLOOKUP(M107,'Características dos Cabos MX'!$C$15:$J$20,3),(IF(J107="Quadruplex",VLOOKUP(M107,'Características dos Cabos MX'!$C$21:$K$27,3),(IF(J107="13",VLOOKUP(M107,'Características dos Cabos MX'!$C$15:$L$20,3),"")))))))</f>
        <v/>
      </c>
      <c r="W107" s="224" t="str">
        <f t="shared" si="19"/>
        <v/>
      </c>
      <c r="X107" s="224" t="str">
        <f t="shared" si="20"/>
        <v/>
      </c>
      <c r="Y107" s="225" t="str">
        <f t="shared" si="21"/>
        <v/>
      </c>
      <c r="AA107" s="298">
        <f t="shared" si="24"/>
        <v>0</v>
      </c>
      <c r="AB107" s="298">
        <f t="shared" si="27"/>
        <v>0</v>
      </c>
      <c r="AC107" s="284"/>
      <c r="AE107" s="299" t="str">
        <f t="shared" si="13"/>
        <v/>
      </c>
      <c r="AF107" s="334">
        <f t="shared" si="14"/>
        <v>0</v>
      </c>
    </row>
    <row r="108" spans="1:32" ht="15" customHeight="1" x14ac:dyDescent="0.25">
      <c r="A108" s="575"/>
      <c r="B108" s="564"/>
      <c r="C108" s="432"/>
      <c r="D108" s="433"/>
      <c r="E108" s="438"/>
      <c r="F108" s="216" t="str">
        <f t="shared" si="15"/>
        <v/>
      </c>
      <c r="G108" s="451"/>
      <c r="H108" s="217" t="str">
        <f>IF(AND(E108="",G108=""),"",SUM(F108:G115))</f>
        <v/>
      </c>
      <c r="I108" s="218"/>
      <c r="J108" s="259"/>
      <c r="K108" s="259"/>
      <c r="L108" s="226" t="str">
        <f>IF(J108="Duplex",VLOOKUP(M108,'Características dos Cabos MX'!$C$12:$I$14,7),(IF(J108="Triplex",VLOOKUP(M108,'Características dos Cabos MX'!$C$15:$J$20,8),(IF(J108="Quadruplex",VLOOKUP(M108,'Características dos Cabos MX'!$C$21:$K$27,9),(IF(J108="13",VLOOKUP(M108,'Características dos Cabos MX'!$C$15:$L$20,10),"")))))))</f>
        <v/>
      </c>
      <c r="M108" s="410" t="str">
        <f t="shared" si="25"/>
        <v/>
      </c>
      <c r="N108" s="444"/>
      <c r="O108" s="219" t="str">
        <f t="shared" si="23"/>
        <v/>
      </c>
      <c r="P108" s="220" t="str">
        <f t="shared" si="22"/>
        <v/>
      </c>
      <c r="Q108" s="220" t="str">
        <f t="shared" si="26"/>
        <v/>
      </c>
      <c r="R108" s="221" t="str">
        <f>IF(J108="Duplex",VLOOKUP(M108,'Características dos Cabos MX'!$C$12:$I$14,5),(IF(J108="Triplex",VLOOKUP(M108,'Características dos Cabos MX'!$C$15:$J$20,5),(IF(J108="Quadruplex",VLOOKUP(M108,'Características dos Cabos MX'!$C$21:$K$27,5),(IF(J108="13",VLOOKUP(M108,'Características dos Cabos MX'!$C$15:$L$20,5),"")))))))</f>
        <v/>
      </c>
      <c r="S108" s="221" t="str">
        <f>IF(J108="Duplex",VLOOKUP(M108,'Características dos Cabos MX'!$C$12:$I$14,6),(IF(J108="Triplex",VLOOKUP(M108,'Características dos Cabos MX'!$C$15:$J$20,6),(IF(J108="Quadruplex",VLOOKUP(M108,'Características dos Cabos MX'!$C$21:$K$27,6),(IF(J108="13",VLOOKUP(M108,'Características dos Cabos MX'!$C$15:$L$20,6),"")))))))</f>
        <v/>
      </c>
      <c r="T108" s="222" t="str">
        <f t="shared" si="18"/>
        <v/>
      </c>
      <c r="U108" s="223" t="str">
        <f>IF(J108="Duplex",VLOOKUP(M108,'Características dos Cabos MX'!$C$12:$I$14,2),(IF(J108="Triplex",VLOOKUP(M108,'Características dos Cabos MX'!$C$15:$J$20,2),(IF(J108="Quadruplex",VLOOKUP(M108,'Características dos Cabos MX'!$C$21:$K$27,2),(IF(J108="13",VLOOKUP(M108,'Características dos Cabos MX'!$C$15:$L$20,2),"")))))))</f>
        <v/>
      </c>
      <c r="V108" s="221" t="str">
        <f>IF(J108="Duplex",VLOOKUP(M108,'Características dos Cabos MX'!$C$12:$I$14,3),(IF(J108="Triplex",VLOOKUP(M108,'Características dos Cabos MX'!$C$15:$J$20,3),(IF(J108="Quadruplex",VLOOKUP(M108,'Características dos Cabos MX'!$C$21:$K$27,3),(IF(J108="13",VLOOKUP(M108,'Características dos Cabos MX'!$C$15:$L$20,3),"")))))))</f>
        <v/>
      </c>
      <c r="W108" s="224" t="str">
        <f t="shared" si="19"/>
        <v/>
      </c>
      <c r="X108" s="224" t="str">
        <f t="shared" si="20"/>
        <v/>
      </c>
      <c r="Y108" s="225" t="str">
        <f t="shared" si="21"/>
        <v/>
      </c>
      <c r="AA108" s="298">
        <f t="shared" si="24"/>
        <v>0</v>
      </c>
      <c r="AB108" s="298">
        <f t="shared" si="27"/>
        <v>0</v>
      </c>
      <c r="AC108" s="284"/>
      <c r="AE108" s="299" t="str">
        <f t="shared" si="13"/>
        <v/>
      </c>
      <c r="AF108" s="334">
        <f t="shared" si="14"/>
        <v>0</v>
      </c>
    </row>
    <row r="109" spans="1:32" ht="15" customHeight="1" x14ac:dyDescent="0.25">
      <c r="A109" s="575"/>
      <c r="B109" s="564"/>
      <c r="C109" s="432"/>
      <c r="D109" s="433"/>
      <c r="E109" s="438"/>
      <c r="F109" s="216" t="str">
        <f t="shared" si="15"/>
        <v/>
      </c>
      <c r="G109" s="451"/>
      <c r="H109" s="217" t="str">
        <f>IF(AND(E109="",G109=""),"",SUM(F109:G115))</f>
        <v/>
      </c>
      <c r="I109" s="218"/>
      <c r="J109" s="259"/>
      <c r="K109" s="259"/>
      <c r="L109" s="226" t="str">
        <f>IF(J109="Duplex",VLOOKUP(M109,'Características dos Cabos MX'!$C$12:$I$14,7),(IF(J109="Triplex",VLOOKUP(M109,'Características dos Cabos MX'!$C$15:$J$20,8),(IF(J109="Quadruplex",VLOOKUP(M109,'Características dos Cabos MX'!$C$21:$K$27,9),(IF(J109="13",VLOOKUP(M109,'Características dos Cabos MX'!$C$15:$L$20,10),"")))))))</f>
        <v/>
      </c>
      <c r="M109" s="410" t="str">
        <f t="shared" si="25"/>
        <v/>
      </c>
      <c r="N109" s="444"/>
      <c r="O109" s="219" t="str">
        <f t="shared" si="23"/>
        <v/>
      </c>
      <c r="P109" s="220" t="str">
        <f t="shared" si="22"/>
        <v/>
      </c>
      <c r="Q109" s="220" t="str">
        <f t="shared" si="26"/>
        <v/>
      </c>
      <c r="R109" s="221" t="str">
        <f>IF(J109="Duplex",VLOOKUP(M109,'Características dos Cabos MX'!$C$12:$I$14,5),(IF(J109="Triplex",VLOOKUP(M109,'Características dos Cabos MX'!$C$15:$J$20,5),(IF(J109="Quadruplex",VLOOKUP(M109,'Características dos Cabos MX'!$C$21:$K$27,5),(IF(J109="13",VLOOKUP(M109,'Características dos Cabos MX'!$C$15:$L$20,5),"")))))))</f>
        <v/>
      </c>
      <c r="S109" s="221" t="str">
        <f>IF(J109="Duplex",VLOOKUP(M109,'Características dos Cabos MX'!$C$12:$I$14,6),(IF(J109="Triplex",VLOOKUP(M109,'Características dos Cabos MX'!$C$15:$J$20,6),(IF(J109="Quadruplex",VLOOKUP(M109,'Características dos Cabos MX'!$C$21:$K$27,6),(IF(J109="13",VLOOKUP(M109,'Características dos Cabos MX'!$C$15:$L$20,6),"")))))))</f>
        <v/>
      </c>
      <c r="T109" s="222" t="str">
        <f t="shared" si="18"/>
        <v/>
      </c>
      <c r="U109" s="223" t="str">
        <f>IF(J109="Duplex",VLOOKUP(M109,'Características dos Cabos MX'!$C$12:$I$14,2),(IF(J109="Triplex",VLOOKUP(M109,'Características dos Cabos MX'!$C$15:$J$20,2),(IF(J109="Quadruplex",VLOOKUP(M109,'Características dos Cabos MX'!$C$21:$K$27,2),(IF(J109="13",VLOOKUP(M109,'Características dos Cabos MX'!$C$15:$L$20,2),"")))))))</f>
        <v/>
      </c>
      <c r="V109" s="221" t="str">
        <f>IF(J109="Duplex",VLOOKUP(M109,'Características dos Cabos MX'!$C$12:$I$14,3),(IF(J109="Triplex",VLOOKUP(M109,'Características dos Cabos MX'!$C$15:$J$20,3),(IF(J109="Quadruplex",VLOOKUP(M109,'Características dos Cabos MX'!$C$21:$K$27,3),(IF(J109="13",VLOOKUP(M109,'Características dos Cabos MX'!$C$15:$L$20,3),"")))))))</f>
        <v/>
      </c>
      <c r="W109" s="224" t="str">
        <f t="shared" si="19"/>
        <v/>
      </c>
      <c r="X109" s="224" t="str">
        <f t="shared" si="20"/>
        <v/>
      </c>
      <c r="Y109" s="225" t="str">
        <f t="shared" si="21"/>
        <v/>
      </c>
      <c r="AA109" s="298">
        <f t="shared" si="24"/>
        <v>0</v>
      </c>
      <c r="AB109" s="298">
        <f t="shared" si="27"/>
        <v>0</v>
      </c>
      <c r="AC109" s="284"/>
      <c r="AE109" s="299" t="str">
        <f t="shared" ref="AE109:AE172" si="28">IF(OR(E109="",$G$11=""),"",E109*$G$11*($J$11/100+1)^4)</f>
        <v/>
      </c>
      <c r="AF109" s="334">
        <f t="shared" ref="AF109:AF172" si="29">G109</f>
        <v>0</v>
      </c>
    </row>
    <row r="110" spans="1:32" ht="15" customHeight="1" x14ac:dyDescent="0.25">
      <c r="A110" s="575"/>
      <c r="B110" s="564"/>
      <c r="C110" s="432"/>
      <c r="D110" s="433"/>
      <c r="E110" s="438"/>
      <c r="F110" s="216" t="str">
        <f t="shared" ref="F110:F173" si="30">IF(OR(E110="",$G$11=""),"",E110*$G$11*($J$11/100+1)^($J$15-1))</f>
        <v/>
      </c>
      <c r="G110" s="451"/>
      <c r="H110" s="217" t="str">
        <f>IF(AND(E110="",G110=""),"",SUM(F110:G115))</f>
        <v/>
      </c>
      <c r="I110" s="218"/>
      <c r="J110" s="259"/>
      <c r="K110" s="259"/>
      <c r="L110" s="226" t="str">
        <f>IF(J110="Duplex",VLOOKUP(M110,'Características dos Cabos MX'!$C$12:$I$14,7),(IF(J110="Triplex",VLOOKUP(M110,'Características dos Cabos MX'!$C$15:$J$20,8),(IF(J110="Quadruplex",VLOOKUP(M110,'Características dos Cabos MX'!$C$21:$K$27,9),(IF(J110="13",VLOOKUP(M110,'Características dos Cabos MX'!$C$15:$L$20,10),"")))))))</f>
        <v/>
      </c>
      <c r="M110" s="410" t="str">
        <f t="shared" si="25"/>
        <v/>
      </c>
      <c r="N110" s="444"/>
      <c r="O110" s="219" t="str">
        <f t="shared" ref="O110:O141" si="31">IF(OR(N110="",L110="",H110=""),"",N110*L110*H110)</f>
        <v/>
      </c>
      <c r="P110" s="220" t="str">
        <f t="shared" si="22"/>
        <v/>
      </c>
      <c r="Q110" s="220" t="str">
        <f t="shared" si="26"/>
        <v/>
      </c>
      <c r="R110" s="221" t="str">
        <f>IF(J110="Duplex",VLOOKUP(M110,'Características dos Cabos MX'!$C$12:$I$14,5),(IF(J110="Triplex",VLOOKUP(M110,'Características dos Cabos MX'!$C$15:$J$20,5),(IF(J110="Quadruplex",VLOOKUP(M110,'Características dos Cabos MX'!$C$21:$K$27,5),(IF(J110="13",VLOOKUP(M110,'Características dos Cabos MX'!$C$15:$L$20,5),"")))))))</f>
        <v/>
      </c>
      <c r="S110" s="221" t="str">
        <f>IF(J110="Duplex",VLOOKUP(M110,'Características dos Cabos MX'!$C$12:$I$14,6),(IF(J110="Triplex",VLOOKUP(M110,'Características dos Cabos MX'!$C$15:$J$20,6),(IF(J110="Quadruplex",VLOOKUP(M110,'Características dos Cabos MX'!$C$21:$K$27,6),(IF(J110="13",VLOOKUP(M110,'Características dos Cabos MX'!$C$15:$L$20,6),"")))))))</f>
        <v/>
      </c>
      <c r="T110" s="222" t="str">
        <f t="shared" si="18"/>
        <v/>
      </c>
      <c r="U110" s="223" t="str">
        <f>IF(J110="Duplex",VLOOKUP(M110,'Características dos Cabos MX'!$C$12:$I$14,2),(IF(J110="Triplex",VLOOKUP(M110,'Características dos Cabos MX'!$C$15:$J$20,2),(IF(J110="Quadruplex",VLOOKUP(M110,'Características dos Cabos MX'!$C$21:$K$27,2),(IF(J110="13",VLOOKUP(M110,'Características dos Cabos MX'!$C$15:$L$20,2),"")))))))</f>
        <v/>
      </c>
      <c r="V110" s="221" t="str">
        <f>IF(J110="Duplex",VLOOKUP(M110,'Características dos Cabos MX'!$C$12:$I$14,3),(IF(J110="Triplex",VLOOKUP(M110,'Características dos Cabos MX'!$C$15:$J$20,3),(IF(J110="Quadruplex",VLOOKUP(M110,'Características dos Cabos MX'!$C$21:$K$27,3),(IF(J110="13",VLOOKUP(M110,'Características dos Cabos MX'!$C$15:$L$20,3),"")))))))</f>
        <v/>
      </c>
      <c r="W110" s="224" t="str">
        <f t="shared" si="19"/>
        <v/>
      </c>
      <c r="X110" s="224" t="str">
        <f t="shared" si="20"/>
        <v/>
      </c>
      <c r="Y110" s="225" t="str">
        <f t="shared" si="21"/>
        <v/>
      </c>
      <c r="AA110" s="298">
        <f t="shared" ref="AA110:AA141" si="32">D110</f>
        <v>0</v>
      </c>
      <c r="AB110" s="298">
        <f t="shared" si="27"/>
        <v>0</v>
      </c>
      <c r="AC110" s="284"/>
      <c r="AE110" s="299" t="str">
        <f t="shared" si="28"/>
        <v/>
      </c>
      <c r="AF110" s="334">
        <f t="shared" si="29"/>
        <v>0</v>
      </c>
    </row>
    <row r="111" spans="1:32" ht="15" customHeight="1" x14ac:dyDescent="0.25">
      <c r="A111" s="575"/>
      <c r="B111" s="564"/>
      <c r="C111" s="432"/>
      <c r="D111" s="433"/>
      <c r="E111" s="438"/>
      <c r="F111" s="216" t="str">
        <f t="shared" si="30"/>
        <v/>
      </c>
      <c r="G111" s="451"/>
      <c r="H111" s="217" t="str">
        <f>IF(AND(E111="",G111=""),"",SUM(F111:G115))</f>
        <v/>
      </c>
      <c r="I111" s="218"/>
      <c r="J111" s="259"/>
      <c r="K111" s="259"/>
      <c r="L111" s="226" t="str">
        <f>IF(J111="Duplex",VLOOKUP(M111,'Características dos Cabos MX'!$C$12:$I$14,7),(IF(J111="Triplex",VLOOKUP(M111,'Características dos Cabos MX'!$C$15:$J$20,8),(IF(J111="Quadruplex",VLOOKUP(M111,'Características dos Cabos MX'!$C$21:$K$27,9),(IF(J111="13",VLOOKUP(M111,'Características dos Cabos MX'!$C$15:$L$20,10),"")))))))</f>
        <v/>
      </c>
      <c r="M111" s="410" t="str">
        <f t="shared" si="25"/>
        <v/>
      </c>
      <c r="N111" s="444"/>
      <c r="O111" s="219" t="str">
        <f t="shared" si="31"/>
        <v/>
      </c>
      <c r="P111" s="220" t="str">
        <f t="shared" si="22"/>
        <v/>
      </c>
      <c r="Q111" s="220" t="str">
        <f t="shared" si="26"/>
        <v/>
      </c>
      <c r="R111" s="221" t="str">
        <f>IF(J111="Duplex",VLOOKUP(M111,'Características dos Cabos MX'!$C$12:$I$14,5),(IF(J111="Triplex",VLOOKUP(M111,'Características dos Cabos MX'!$C$15:$J$20,5),(IF(J111="Quadruplex",VLOOKUP(M111,'Características dos Cabos MX'!$C$21:$K$27,5),(IF(J111="13",VLOOKUP(M111,'Características dos Cabos MX'!$C$15:$L$20,5),"")))))))</f>
        <v/>
      </c>
      <c r="S111" s="221" t="str">
        <f>IF(J111="Duplex",VLOOKUP(M111,'Características dos Cabos MX'!$C$12:$I$14,6),(IF(J111="Triplex",VLOOKUP(M111,'Características dos Cabos MX'!$C$15:$J$20,6),(IF(J111="Quadruplex",VLOOKUP(M111,'Características dos Cabos MX'!$C$21:$K$27,6),(IF(J111="13",VLOOKUP(M111,'Características dos Cabos MX'!$C$15:$L$20,6),"")))))))</f>
        <v/>
      </c>
      <c r="T111" s="222" t="str">
        <f t="shared" ref="T111:T174" si="33">IF(OR(Q111="",R111="",S111=""),"",IF(OR($L$11="PE",$L$11="pe"),Q111/R111,IF(OR($L$11="XLPE",$L$11="xlpe"),Q111/S111,"")))</f>
        <v/>
      </c>
      <c r="U111" s="223" t="str">
        <f>IF(J111="Duplex",VLOOKUP(M111,'Características dos Cabos MX'!$C$12:$I$14,2),(IF(J111="Triplex",VLOOKUP(M111,'Características dos Cabos MX'!$C$15:$J$20,2),(IF(J111="Quadruplex",VLOOKUP(M111,'Características dos Cabos MX'!$C$21:$K$27,2),(IF(J111="13",VLOOKUP(M111,'Características dos Cabos MX'!$C$15:$L$20,2),"")))))))</f>
        <v/>
      </c>
      <c r="V111" s="221" t="str">
        <f>IF(J111="Duplex",VLOOKUP(M111,'Características dos Cabos MX'!$C$12:$I$14,3),(IF(J111="Triplex",VLOOKUP(M111,'Características dos Cabos MX'!$C$15:$J$20,3),(IF(J111="Quadruplex",VLOOKUP(M111,'Características dos Cabos MX'!$C$21:$K$27,3),(IF(J111="13",VLOOKUP(M111,'Características dos Cabos MX'!$C$15:$L$20,3),"")))))))</f>
        <v/>
      </c>
      <c r="W111" s="224" t="str">
        <f t="shared" ref="W111:W174" si="34">IF(OR(O111="",$G$15="",H111="",N111=""),"",IF(J111="Quadruplex",3*$L$13*U111*O111/1000*R111^2*8.76,IF(J111="Triplex",2*$L$13*U111*O111/1000*R111^2*8.76,IF(J111="Duplex",$L$13*U111*O111/1000*R111^2*8.76))))</f>
        <v/>
      </c>
      <c r="X111" s="224" t="str">
        <f t="shared" ref="X111:X174" si="35">IF(OR(O111="",$G$15="",H111="",N111=""),"",IF(J111="Quadruplex",3*$L$13*V111*O111/1000*R111^2*8.76,IF(J111="triplex",2*$L$13*V111*O111/1000*R111^2*8.76,IF(J111="Duplex",$L$13*V111*O111/1000*R111^2*8.76))))</f>
        <v/>
      </c>
      <c r="Y111" s="225" t="str">
        <f t="shared" ref="Y111:Y174" si="36">IF(OR(V111="",W111="",X111=""),"",IF($L$11="PE",W111,IF($L$11="XLPE",X111,"")))</f>
        <v/>
      </c>
      <c r="AA111" s="298">
        <f t="shared" si="32"/>
        <v>0</v>
      </c>
      <c r="AB111" s="298">
        <f t="shared" si="27"/>
        <v>0</v>
      </c>
      <c r="AC111" s="284"/>
      <c r="AE111" s="299" t="str">
        <f t="shared" si="28"/>
        <v/>
      </c>
      <c r="AF111" s="334">
        <f t="shared" si="29"/>
        <v>0</v>
      </c>
    </row>
    <row r="112" spans="1:32" ht="15" customHeight="1" x14ac:dyDescent="0.25">
      <c r="A112" s="575"/>
      <c r="B112" s="564"/>
      <c r="C112" s="432"/>
      <c r="D112" s="433"/>
      <c r="E112" s="438"/>
      <c r="F112" s="216" t="str">
        <f t="shared" si="30"/>
        <v/>
      </c>
      <c r="G112" s="451"/>
      <c r="H112" s="217" t="str">
        <f>IF(AND(E112="",G112=""),"",SUM(F112:G115))</f>
        <v/>
      </c>
      <c r="I112" s="218"/>
      <c r="J112" s="259"/>
      <c r="K112" s="259"/>
      <c r="L112" s="226" t="str">
        <f>IF(J112="Duplex",VLOOKUP(M112,'Características dos Cabos MX'!$C$12:$I$14,7),(IF(J112="Triplex",VLOOKUP(M112,'Características dos Cabos MX'!$C$15:$J$20,8),(IF(J112="Quadruplex",VLOOKUP(M112,'Características dos Cabos MX'!$C$21:$K$27,9),(IF(J112="13",VLOOKUP(M112,'Características dos Cabos MX'!$C$15:$L$20,10),"")))))))</f>
        <v/>
      </c>
      <c r="M112" s="410" t="str">
        <f t="shared" si="25"/>
        <v/>
      </c>
      <c r="N112" s="444"/>
      <c r="O112" s="219" t="str">
        <f t="shared" si="31"/>
        <v/>
      </c>
      <c r="P112" s="220" t="str">
        <f>IF(O112="","",P111+O112)</f>
        <v/>
      </c>
      <c r="Q112" s="220" t="str">
        <f t="shared" si="26"/>
        <v/>
      </c>
      <c r="R112" s="221" t="str">
        <f>IF(J112="Duplex",VLOOKUP(M112,'Características dos Cabos MX'!$C$12:$I$14,5),(IF(J112="Triplex",VLOOKUP(M112,'Características dos Cabos MX'!$C$15:$J$20,5),(IF(J112="Quadruplex",VLOOKUP(M112,'Características dos Cabos MX'!$C$21:$K$27,5),(IF(J112="13",VLOOKUP(M112,'Características dos Cabos MX'!$C$15:$L$20,5),"")))))))</f>
        <v/>
      </c>
      <c r="S112" s="221" t="str">
        <f>IF(J112="Duplex",VLOOKUP(M112,'Características dos Cabos MX'!$C$12:$I$14,6),(IF(J112="Triplex",VLOOKUP(M112,'Características dos Cabos MX'!$C$15:$J$20,6),(IF(J112="Quadruplex",VLOOKUP(M112,'Características dos Cabos MX'!$C$21:$K$27,6),(IF(J112="13",VLOOKUP(M112,'Características dos Cabos MX'!$C$15:$L$20,6),"")))))))</f>
        <v/>
      </c>
      <c r="T112" s="222" t="str">
        <f t="shared" si="33"/>
        <v/>
      </c>
      <c r="U112" s="223" t="str">
        <f>IF(J112="Duplex",VLOOKUP(M112,'Características dos Cabos MX'!$C$12:$I$14,2),(IF(J112="Triplex",VLOOKUP(M112,'Características dos Cabos MX'!$C$15:$J$20,2),(IF(J112="Quadruplex",VLOOKUP(M112,'Características dos Cabos MX'!$C$21:$K$27,2),(IF(J112="13",VLOOKUP(M112,'Características dos Cabos MX'!$C$15:$L$20,2),"")))))))</f>
        <v/>
      </c>
      <c r="V112" s="221" t="str">
        <f>IF(J112="Duplex",VLOOKUP(M112,'Características dos Cabos MX'!$C$12:$I$14,3),(IF(J112="Triplex",VLOOKUP(M112,'Características dos Cabos MX'!$C$15:$J$20,3),(IF(J112="Quadruplex",VLOOKUP(M112,'Características dos Cabos MX'!$C$21:$K$27,3),(IF(J112="13",VLOOKUP(M112,'Características dos Cabos MX'!$C$15:$L$20,3),"")))))))</f>
        <v/>
      </c>
      <c r="W112" s="224" t="str">
        <f t="shared" si="34"/>
        <v/>
      </c>
      <c r="X112" s="224" t="str">
        <f t="shared" si="35"/>
        <v/>
      </c>
      <c r="Y112" s="225" t="str">
        <f t="shared" si="36"/>
        <v/>
      </c>
      <c r="AA112" s="298">
        <f t="shared" si="32"/>
        <v>0</v>
      </c>
      <c r="AB112" s="298">
        <f t="shared" si="27"/>
        <v>0</v>
      </c>
      <c r="AC112" s="284"/>
      <c r="AE112" s="299" t="str">
        <f t="shared" si="28"/>
        <v/>
      </c>
      <c r="AF112" s="334">
        <f t="shared" si="29"/>
        <v>0</v>
      </c>
    </row>
    <row r="113" spans="1:32" ht="15" customHeight="1" x14ac:dyDescent="0.25">
      <c r="A113" s="575"/>
      <c r="B113" s="564"/>
      <c r="C113" s="432"/>
      <c r="D113" s="433"/>
      <c r="E113" s="438"/>
      <c r="F113" s="216" t="str">
        <f t="shared" si="30"/>
        <v/>
      </c>
      <c r="G113" s="451"/>
      <c r="H113" s="217" t="str">
        <f>IF(AND(E113="",G113=""),"",SUM(F113:G115))</f>
        <v/>
      </c>
      <c r="I113" s="218"/>
      <c r="J113" s="259"/>
      <c r="K113" s="259"/>
      <c r="L113" s="226" t="str">
        <f>IF(J113="Duplex",VLOOKUP(M113,'Características dos Cabos MX'!$C$12:$I$14,7),(IF(J113="Triplex",VLOOKUP(M113,'Características dos Cabos MX'!$C$15:$J$20,8),(IF(J113="Quadruplex",VLOOKUP(M113,'Características dos Cabos MX'!$C$21:$K$27,9),(IF(J113="13",VLOOKUP(M113,'Características dos Cabos MX'!$C$15:$L$20,10),"")))))))</f>
        <v/>
      </c>
      <c r="M113" s="410" t="str">
        <f t="shared" si="25"/>
        <v/>
      </c>
      <c r="N113" s="444"/>
      <c r="O113" s="219" t="str">
        <f t="shared" si="31"/>
        <v/>
      </c>
      <c r="P113" s="220" t="str">
        <f>IF(O113="","",P112+O113)</f>
        <v/>
      </c>
      <c r="Q113" s="220" t="str">
        <f t="shared" si="26"/>
        <v/>
      </c>
      <c r="R113" s="221" t="str">
        <f>IF(J113="Duplex",VLOOKUP(M113,'Características dos Cabos MX'!$C$12:$I$14,5),(IF(J113="Triplex",VLOOKUP(M113,'Características dos Cabos MX'!$C$15:$J$20,5),(IF(J113="Quadruplex",VLOOKUP(M113,'Características dos Cabos MX'!$C$21:$K$27,5),(IF(J113="13",VLOOKUP(M113,'Características dos Cabos MX'!$C$15:$L$20,5),"")))))))</f>
        <v/>
      </c>
      <c r="S113" s="221" t="str">
        <f>IF(J113="Duplex",VLOOKUP(M113,'Características dos Cabos MX'!$C$12:$I$14,6),(IF(J113="Triplex",VLOOKUP(M113,'Características dos Cabos MX'!$C$15:$J$20,6),(IF(J113="Quadruplex",VLOOKUP(M113,'Características dos Cabos MX'!$C$21:$K$27,6),(IF(J113="13",VLOOKUP(M113,'Características dos Cabos MX'!$C$15:$L$20,6),"")))))))</f>
        <v/>
      </c>
      <c r="T113" s="222" t="str">
        <f t="shared" si="33"/>
        <v/>
      </c>
      <c r="U113" s="223" t="str">
        <f>IF(J113="Duplex",VLOOKUP(M113,'Características dos Cabos MX'!$C$12:$I$14,2),(IF(J113="Triplex",VLOOKUP(M113,'Características dos Cabos MX'!$C$15:$J$20,2),(IF(J113="Quadruplex",VLOOKUP(M113,'Características dos Cabos MX'!$C$21:$K$27,2),(IF(J113="13",VLOOKUP(M113,'Características dos Cabos MX'!$C$15:$L$20,2),"")))))))</f>
        <v/>
      </c>
      <c r="V113" s="221" t="str">
        <f>IF(J113="Duplex",VLOOKUP(M113,'Características dos Cabos MX'!$C$12:$I$14,3),(IF(J113="Triplex",VLOOKUP(M113,'Características dos Cabos MX'!$C$15:$J$20,3),(IF(J113="Quadruplex",VLOOKUP(M113,'Características dos Cabos MX'!$C$21:$K$27,3),(IF(J113="13",VLOOKUP(M113,'Características dos Cabos MX'!$C$15:$L$20,3),"")))))))</f>
        <v/>
      </c>
      <c r="W113" s="224" t="str">
        <f t="shared" si="34"/>
        <v/>
      </c>
      <c r="X113" s="224" t="str">
        <f t="shared" si="35"/>
        <v/>
      </c>
      <c r="Y113" s="225" t="str">
        <f t="shared" si="36"/>
        <v/>
      </c>
      <c r="AA113" s="298">
        <f t="shared" si="32"/>
        <v>0</v>
      </c>
      <c r="AB113" s="298">
        <f t="shared" si="27"/>
        <v>0</v>
      </c>
      <c r="AC113" s="284"/>
      <c r="AE113" s="299" t="str">
        <f t="shared" si="28"/>
        <v/>
      </c>
      <c r="AF113" s="334">
        <f t="shared" si="29"/>
        <v>0</v>
      </c>
    </row>
    <row r="114" spans="1:32" ht="15" customHeight="1" x14ac:dyDescent="0.25">
      <c r="A114" s="575"/>
      <c r="B114" s="564"/>
      <c r="C114" s="432"/>
      <c r="D114" s="433"/>
      <c r="E114" s="438"/>
      <c r="F114" s="216" t="str">
        <f t="shared" si="30"/>
        <v/>
      </c>
      <c r="G114" s="451"/>
      <c r="H114" s="217" t="str">
        <f>IF(AND(E114="",G114=""),"",SUM(F114:G115))</f>
        <v/>
      </c>
      <c r="I114" s="218"/>
      <c r="J114" s="259"/>
      <c r="K114" s="259"/>
      <c r="L114" s="226" t="str">
        <f>IF(J114="Duplex",VLOOKUP(M114,'Características dos Cabos MX'!$C$12:$I$14,7),(IF(J114="Triplex",VLOOKUP(M114,'Características dos Cabos MX'!$C$15:$J$20,8),(IF(J114="Quadruplex",VLOOKUP(M114,'Características dos Cabos MX'!$C$21:$K$27,9),(IF(J114="13",VLOOKUP(M114,'Características dos Cabos MX'!$C$15:$L$20,10),"")))))))</f>
        <v/>
      </c>
      <c r="M114" s="410" t="str">
        <f t="shared" si="25"/>
        <v/>
      </c>
      <c r="N114" s="444"/>
      <c r="O114" s="219" t="str">
        <f t="shared" si="31"/>
        <v/>
      </c>
      <c r="P114" s="220" t="str">
        <f>IF(O114="","",P113+O114)</f>
        <v/>
      </c>
      <c r="Q114" s="220" t="str">
        <f t="shared" si="26"/>
        <v/>
      </c>
      <c r="R114" s="221" t="str">
        <f>IF(J114="Duplex",VLOOKUP(M114,'Características dos Cabos MX'!$C$12:$I$14,5),(IF(J114="Triplex",VLOOKUP(M114,'Características dos Cabos MX'!$C$15:$J$20,5),(IF(J114="Quadruplex",VLOOKUP(M114,'Características dos Cabos MX'!$C$21:$K$27,5),(IF(J114="13",VLOOKUP(M114,'Características dos Cabos MX'!$C$15:$L$20,5),"")))))))</f>
        <v/>
      </c>
      <c r="S114" s="221" t="str">
        <f>IF(J114="Duplex",VLOOKUP(M114,'Características dos Cabos MX'!$C$12:$I$14,6),(IF(J114="Triplex",VLOOKUP(M114,'Características dos Cabos MX'!$C$15:$J$20,6),(IF(J114="Quadruplex",VLOOKUP(M114,'Características dos Cabos MX'!$C$21:$K$27,6),(IF(J114="13",VLOOKUP(M114,'Características dos Cabos MX'!$C$15:$L$20,6),"")))))))</f>
        <v/>
      </c>
      <c r="T114" s="222" t="str">
        <f t="shared" si="33"/>
        <v/>
      </c>
      <c r="U114" s="223" t="str">
        <f>IF(J114="Duplex",VLOOKUP(M114,'Características dos Cabos MX'!$C$12:$I$14,2),(IF(J114="Triplex",VLOOKUP(M114,'Características dos Cabos MX'!$C$15:$J$20,2),(IF(J114="Quadruplex",VLOOKUP(M114,'Características dos Cabos MX'!$C$21:$K$27,2),(IF(J114="13",VLOOKUP(M114,'Características dos Cabos MX'!$C$15:$L$20,2),"")))))))</f>
        <v/>
      </c>
      <c r="V114" s="221" t="str">
        <f>IF(J114="Duplex",VLOOKUP(M114,'Características dos Cabos MX'!$C$12:$I$14,3),(IF(J114="Triplex",VLOOKUP(M114,'Características dos Cabos MX'!$C$15:$J$20,3),(IF(J114="Quadruplex",VLOOKUP(M114,'Características dos Cabos MX'!$C$21:$K$27,3),(IF(J114="13",VLOOKUP(M114,'Características dos Cabos MX'!$C$15:$L$20,3),"")))))))</f>
        <v/>
      </c>
      <c r="W114" s="224" t="str">
        <f t="shared" si="34"/>
        <v/>
      </c>
      <c r="X114" s="224" t="str">
        <f t="shared" si="35"/>
        <v/>
      </c>
      <c r="Y114" s="225" t="str">
        <f t="shared" si="36"/>
        <v/>
      </c>
      <c r="AA114" s="298">
        <f t="shared" si="32"/>
        <v>0</v>
      </c>
      <c r="AB114" s="298">
        <f t="shared" si="27"/>
        <v>0</v>
      </c>
      <c r="AC114" s="284"/>
      <c r="AE114" s="299" t="str">
        <f t="shared" si="28"/>
        <v/>
      </c>
      <c r="AF114" s="334">
        <f t="shared" si="29"/>
        <v>0</v>
      </c>
    </row>
    <row r="115" spans="1:32" ht="15" customHeight="1" thickBot="1" x14ac:dyDescent="0.3">
      <c r="A115" s="575"/>
      <c r="B115" s="565"/>
      <c r="C115" s="434"/>
      <c r="D115" s="435"/>
      <c r="E115" s="434"/>
      <c r="F115" s="228" t="str">
        <f t="shared" si="30"/>
        <v/>
      </c>
      <c r="G115" s="452"/>
      <c r="H115" s="229" t="str">
        <f>IF(AND(E115="",G115=""),"",SUM(F115:G115))</f>
        <v/>
      </c>
      <c r="I115" s="230"/>
      <c r="J115" s="260"/>
      <c r="K115" s="260"/>
      <c r="L115" s="231" t="str">
        <f>IF(J115="Duplex",VLOOKUP(M115,'Características dos Cabos MX'!$C$12:$I$14,7),(IF(J115="Triplex",VLOOKUP(M115,'Características dos Cabos MX'!$C$15:$J$20,8),(IF(J115="Quadruplex",VLOOKUP(M115,'Características dos Cabos MX'!$C$21:$K$27,9),(IF(J115="13",VLOOKUP(M115,'Características dos Cabos MX'!$C$15:$L$20,10),"")))))))</f>
        <v/>
      </c>
      <c r="M115" s="412" t="str">
        <f t="shared" si="25"/>
        <v/>
      </c>
      <c r="N115" s="445"/>
      <c r="O115" s="232" t="str">
        <f t="shared" si="31"/>
        <v/>
      </c>
      <c r="P115" s="233" t="str">
        <f>IF(O115="","",P114+O115)</f>
        <v/>
      </c>
      <c r="Q115" s="233" t="str">
        <f t="shared" si="26"/>
        <v/>
      </c>
      <c r="R115" s="234" t="str">
        <f>IF(J115="Duplex",VLOOKUP(M115,'Características dos Cabos MX'!$C$12:$I$14,5),(IF(J115="Triplex",VLOOKUP(M115,'Características dos Cabos MX'!$C$15:$J$20,5),(IF(J115="Quadruplex",VLOOKUP(M115,'Características dos Cabos MX'!$C$21:$K$27,5),(IF(J115="13",VLOOKUP(M115,'Características dos Cabos MX'!$C$15:$L$20,5),"")))))))</f>
        <v/>
      </c>
      <c r="S115" s="234" t="str">
        <f>IF(J115="Duplex",VLOOKUP(M115,'Características dos Cabos MX'!$C$12:$I$14,6),(IF(J115="Triplex",VLOOKUP(M115,'Características dos Cabos MX'!$C$15:$J$20,6),(IF(J115="Quadruplex",VLOOKUP(M115,'Características dos Cabos MX'!$C$21:$K$27,6),(IF(J115="13",VLOOKUP(M115,'Características dos Cabos MX'!$C$15:$L$20,6),"")))))))</f>
        <v/>
      </c>
      <c r="T115" s="235" t="str">
        <f t="shared" si="33"/>
        <v/>
      </c>
      <c r="U115" s="236" t="str">
        <f>IF(J115="Duplex",VLOOKUP(M115,'Características dos Cabos MX'!$C$12:$I$14,2),(IF(J115="Triplex",VLOOKUP(M115,'Características dos Cabos MX'!$C$15:$J$20,2),(IF(J115="Quadruplex",VLOOKUP(M115,'Características dos Cabos MX'!$C$21:$K$27,2),(IF(J115="13",VLOOKUP(M115,'Características dos Cabos MX'!$C$15:$L$20,2),"")))))))</f>
        <v/>
      </c>
      <c r="V115" s="234" t="str">
        <f>IF(J115="Duplex",VLOOKUP(M115,'Características dos Cabos MX'!$C$12:$I$14,3),(IF(J115="Triplex",VLOOKUP(M115,'Características dos Cabos MX'!$C$15:$J$20,3),(IF(J115="Quadruplex",VLOOKUP(M115,'Características dos Cabos MX'!$C$21:$K$27,3),(IF(J115="13",VLOOKUP(M115,'Características dos Cabos MX'!$C$15:$L$20,3),"")))))))</f>
        <v/>
      </c>
      <c r="W115" s="237" t="str">
        <f t="shared" si="34"/>
        <v/>
      </c>
      <c r="X115" s="237" t="str">
        <f t="shared" si="35"/>
        <v/>
      </c>
      <c r="Y115" s="238" t="str">
        <f t="shared" si="36"/>
        <v/>
      </c>
      <c r="AA115" s="298">
        <f t="shared" si="32"/>
        <v>0</v>
      </c>
      <c r="AB115" s="298">
        <f t="shared" si="27"/>
        <v>0</v>
      </c>
      <c r="AC115" s="284"/>
      <c r="AE115" s="299" t="str">
        <f t="shared" si="28"/>
        <v/>
      </c>
      <c r="AF115" s="334">
        <f t="shared" si="29"/>
        <v>0</v>
      </c>
    </row>
    <row r="116" spans="1:32" ht="15" customHeight="1" thickTop="1" x14ac:dyDescent="0.25">
      <c r="A116" s="575"/>
      <c r="B116" s="563" t="str">
        <f>CONCATENATE("Ramal 8 - Derivando no ponto ",C116)</f>
        <v xml:space="preserve">Ramal 8 - Derivando no ponto </v>
      </c>
      <c r="C116" s="431"/>
      <c r="D116" s="436"/>
      <c r="E116" s="440"/>
      <c r="F116" s="239" t="str">
        <f t="shared" si="30"/>
        <v/>
      </c>
      <c r="G116" s="453"/>
      <c r="H116" s="240" t="str">
        <f>IF(AND(E116="",G116=""),"",SUM(F116:G125))</f>
        <v/>
      </c>
      <c r="I116" s="241"/>
      <c r="J116" s="262"/>
      <c r="K116" s="262"/>
      <c r="L116" s="242" t="str">
        <f>IF(J116="Duplex",VLOOKUP(M116,'Características dos Cabos MX'!$C$12:$I$14,7),(IF(J116="Triplex",VLOOKUP(M116,'Características dos Cabos MX'!$C$15:$J$20,8),(IF(J116="Quadruplex",VLOOKUP(M116,'Características dos Cabos MX'!$C$21:$K$27,9),(IF(J116="13",VLOOKUP(M116,'Características dos Cabos MX'!$C$15:$L$20,10),"")))))))</f>
        <v/>
      </c>
      <c r="M116" s="413" t="str">
        <f t="shared" si="25"/>
        <v/>
      </c>
      <c r="N116" s="446"/>
      <c r="O116" s="243" t="str">
        <f t="shared" si="31"/>
        <v/>
      </c>
      <c r="P116" s="244" t="str">
        <f>IF(O116="","",O116+VLOOKUP(C116,$D$20:$Q$116,13,FALSE))</f>
        <v/>
      </c>
      <c r="Q116" s="244" t="str">
        <f t="shared" si="26"/>
        <v/>
      </c>
      <c r="R116" s="245" t="str">
        <f>IF(J116="Duplex",VLOOKUP(M116,'Características dos Cabos MX'!$C$12:$I$14,5),(IF(J116="Triplex",VLOOKUP(M116,'Características dos Cabos MX'!$C$15:$J$20,5),(IF(J116="Quadruplex",VLOOKUP(M116,'Características dos Cabos MX'!$C$21:$K$27,5),(IF(J116="13",VLOOKUP(M116,'Características dos Cabos MX'!$C$15:$L$20,5),"")))))))</f>
        <v/>
      </c>
      <c r="S116" s="245" t="str">
        <f>IF(J116="Duplex",VLOOKUP(M116,'Características dos Cabos MX'!$C$12:$I$14,6),(IF(J116="Triplex",VLOOKUP(M116,'Características dos Cabos MX'!$C$15:$J$20,6),(IF(J116="Quadruplex",VLOOKUP(M116,'Características dos Cabos MX'!$C$21:$K$27,6),(IF(J116="13",VLOOKUP(M116,'Características dos Cabos MX'!$C$15:$L$20,6),"")))))))</f>
        <v/>
      </c>
      <c r="T116" s="246" t="str">
        <f t="shared" si="33"/>
        <v/>
      </c>
      <c r="U116" s="247" t="str">
        <f>IF(J116="Duplex",VLOOKUP(M116,'Características dos Cabos MX'!$C$12:$I$14,2),(IF(J116="Triplex",VLOOKUP(M116,'Características dos Cabos MX'!$C$15:$J$20,2),(IF(J116="Quadruplex",VLOOKUP(M116,'Características dos Cabos MX'!$C$21:$K$27,2),(IF(J116="13",VLOOKUP(M116,'Características dos Cabos MX'!$C$15:$L$20,2),"")))))))</f>
        <v/>
      </c>
      <c r="V116" s="245" t="str">
        <f>IF(J116="Duplex",VLOOKUP(M116,'Características dos Cabos MX'!$C$12:$I$14,3),(IF(J116="Triplex",VLOOKUP(M116,'Características dos Cabos MX'!$C$15:$J$20,3),(IF(J116="Quadruplex",VLOOKUP(M116,'Características dos Cabos MX'!$C$21:$K$27,3),(IF(J116="13",VLOOKUP(M116,'Características dos Cabos MX'!$C$15:$L$20,3),"")))))))</f>
        <v/>
      </c>
      <c r="W116" s="248" t="str">
        <f t="shared" si="34"/>
        <v/>
      </c>
      <c r="X116" s="248" t="str">
        <f t="shared" si="35"/>
        <v/>
      </c>
      <c r="Y116" s="249" t="str">
        <f t="shared" si="36"/>
        <v/>
      </c>
      <c r="Z116" s="121" t="str">
        <f>IF(O116="","",O116+VLOOKUP(C116,$D$20:$P$44,13,FALSE))</f>
        <v/>
      </c>
      <c r="AA116" s="298">
        <f t="shared" si="32"/>
        <v>0</v>
      </c>
      <c r="AB116" s="298">
        <f t="shared" si="27"/>
        <v>0</v>
      </c>
      <c r="AC116" s="284"/>
      <c r="AE116" s="299" t="str">
        <f t="shared" si="28"/>
        <v/>
      </c>
      <c r="AF116" s="334">
        <f t="shared" si="29"/>
        <v>0</v>
      </c>
    </row>
    <row r="117" spans="1:32" ht="15" customHeight="1" x14ac:dyDescent="0.25">
      <c r="A117" s="575"/>
      <c r="B117" s="564"/>
      <c r="C117" s="432"/>
      <c r="D117" s="433"/>
      <c r="E117" s="438"/>
      <c r="F117" s="216" t="str">
        <f t="shared" si="30"/>
        <v/>
      </c>
      <c r="G117" s="451"/>
      <c r="H117" s="217" t="str">
        <f>IF(AND(E117="",G117=""),"",SUM(F117:G125))</f>
        <v/>
      </c>
      <c r="I117" s="218"/>
      <c r="J117" s="259"/>
      <c r="K117" s="259"/>
      <c r="L117" s="226" t="str">
        <f>IF(J117="Duplex",VLOOKUP(M117,'Características dos Cabos MX'!$C$12:$I$14,7),(IF(J117="Triplex",VLOOKUP(M117,'Características dos Cabos MX'!$C$15:$J$20,8),(IF(J117="Quadruplex",VLOOKUP(M117,'Características dos Cabos MX'!$C$21:$K$27,9),(IF(J117="13",VLOOKUP(M117,'Características dos Cabos MX'!$C$15:$L$20,10),"")))))))</f>
        <v/>
      </c>
      <c r="M117" s="410" t="str">
        <f t="shared" si="25"/>
        <v/>
      </c>
      <c r="N117" s="444"/>
      <c r="O117" s="219" t="str">
        <f t="shared" si="31"/>
        <v/>
      </c>
      <c r="P117" s="220" t="str">
        <f t="shared" ref="P117:P125" si="37">IF(O117="","",P116+O117)</f>
        <v/>
      </c>
      <c r="Q117" s="220" t="str">
        <f t="shared" si="26"/>
        <v/>
      </c>
      <c r="R117" s="221" t="str">
        <f>IF(J117="Duplex",VLOOKUP(M117,'Características dos Cabos MX'!$C$12:$I$14,5),(IF(J117="Triplex",VLOOKUP(M117,'Características dos Cabos MX'!$C$15:$J$20,5),(IF(J117="Quadruplex",VLOOKUP(M117,'Características dos Cabos MX'!$C$21:$K$27,5),(IF(J117="13",VLOOKUP(M117,'Características dos Cabos MX'!$C$15:$L$20,5),"")))))))</f>
        <v/>
      </c>
      <c r="S117" s="221" t="str">
        <f>IF(J117="Duplex",VLOOKUP(M117,'Características dos Cabos MX'!$C$12:$I$14,6),(IF(J117="Triplex",VLOOKUP(M117,'Características dos Cabos MX'!$C$15:$J$20,6),(IF(J117="Quadruplex",VLOOKUP(M117,'Características dos Cabos MX'!$C$21:$K$27,6),(IF(J117="13",VLOOKUP(M117,'Características dos Cabos MX'!$C$15:$L$20,6),"")))))))</f>
        <v/>
      </c>
      <c r="T117" s="222" t="str">
        <f t="shared" si="33"/>
        <v/>
      </c>
      <c r="U117" s="223" t="str">
        <f>IF(J117="Duplex",VLOOKUP(M117,'Características dos Cabos MX'!$C$12:$I$14,2),(IF(J117="Triplex",VLOOKUP(M117,'Características dos Cabos MX'!$C$15:$J$20,2),(IF(J117="Quadruplex",VLOOKUP(M117,'Características dos Cabos MX'!$C$21:$K$27,2),(IF(J117="13",VLOOKUP(M117,'Características dos Cabos MX'!$C$15:$L$20,2),"")))))))</f>
        <v/>
      </c>
      <c r="V117" s="221" t="str">
        <f>IF(J117="Duplex",VLOOKUP(M117,'Características dos Cabos MX'!$C$12:$I$14,3),(IF(J117="Triplex",VLOOKUP(M117,'Características dos Cabos MX'!$C$15:$J$20,3),(IF(J117="Quadruplex",VLOOKUP(M117,'Características dos Cabos MX'!$C$21:$K$27,3),(IF(J117="13",VLOOKUP(M117,'Características dos Cabos MX'!$C$15:$L$20,3),"")))))))</f>
        <v/>
      </c>
      <c r="W117" s="224" t="str">
        <f t="shared" si="34"/>
        <v/>
      </c>
      <c r="X117" s="224" t="str">
        <f t="shared" si="35"/>
        <v/>
      </c>
      <c r="Y117" s="225" t="str">
        <f t="shared" si="36"/>
        <v/>
      </c>
      <c r="AA117" s="298">
        <f t="shared" si="32"/>
        <v>0</v>
      </c>
      <c r="AB117" s="298">
        <f t="shared" si="27"/>
        <v>0</v>
      </c>
      <c r="AC117" s="284"/>
      <c r="AE117" s="299" t="str">
        <f t="shared" si="28"/>
        <v/>
      </c>
      <c r="AF117" s="334">
        <f t="shared" si="29"/>
        <v>0</v>
      </c>
    </row>
    <row r="118" spans="1:32" ht="15" customHeight="1" x14ac:dyDescent="0.25">
      <c r="A118" s="575"/>
      <c r="B118" s="564"/>
      <c r="C118" s="432"/>
      <c r="D118" s="433"/>
      <c r="E118" s="438"/>
      <c r="F118" s="216" t="str">
        <f t="shared" si="30"/>
        <v/>
      </c>
      <c r="G118" s="451"/>
      <c r="H118" s="217" t="str">
        <f>IF(AND(E118="",G118=""),"",SUM(F118:G125))</f>
        <v/>
      </c>
      <c r="I118" s="218"/>
      <c r="J118" s="259"/>
      <c r="K118" s="259"/>
      <c r="L118" s="226" t="str">
        <f>IF(J118="Duplex",VLOOKUP(M118,'Características dos Cabos MX'!$C$12:$I$14,7),(IF(J118="Triplex",VLOOKUP(M118,'Características dos Cabos MX'!$C$15:$J$20,8),(IF(J118="Quadruplex",VLOOKUP(M118,'Características dos Cabos MX'!$C$21:$K$27,9),(IF(J118="13",VLOOKUP(M118,'Características dos Cabos MX'!$C$15:$L$20,10),"")))))))</f>
        <v/>
      </c>
      <c r="M118" s="410" t="str">
        <f t="shared" si="25"/>
        <v/>
      </c>
      <c r="N118" s="444"/>
      <c r="O118" s="219" t="str">
        <f t="shared" si="31"/>
        <v/>
      </c>
      <c r="P118" s="220" t="str">
        <f t="shared" si="37"/>
        <v/>
      </c>
      <c r="Q118" s="220" t="str">
        <f t="shared" si="26"/>
        <v/>
      </c>
      <c r="R118" s="221" t="str">
        <f>IF(J118="Duplex",VLOOKUP(M118,'Características dos Cabos MX'!$C$12:$I$14,5),(IF(J118="Triplex",VLOOKUP(M118,'Características dos Cabos MX'!$C$15:$J$20,5),(IF(J118="Quadruplex",VLOOKUP(M118,'Características dos Cabos MX'!$C$21:$K$27,5),(IF(J118="13",VLOOKUP(M118,'Características dos Cabos MX'!$C$15:$L$20,5),"")))))))</f>
        <v/>
      </c>
      <c r="S118" s="221" t="str">
        <f>IF(J118="Duplex",VLOOKUP(M118,'Características dos Cabos MX'!$C$12:$I$14,6),(IF(J118="Triplex",VLOOKUP(M118,'Características dos Cabos MX'!$C$15:$J$20,6),(IF(J118="Quadruplex",VLOOKUP(M118,'Características dos Cabos MX'!$C$21:$K$27,6),(IF(J118="13",VLOOKUP(M118,'Características dos Cabos MX'!$C$15:$L$20,6),"")))))))</f>
        <v/>
      </c>
      <c r="T118" s="222" t="str">
        <f t="shared" si="33"/>
        <v/>
      </c>
      <c r="U118" s="223" t="str">
        <f>IF(J118="Duplex",VLOOKUP(M118,'Características dos Cabos MX'!$C$12:$I$14,2),(IF(J118="Triplex",VLOOKUP(M118,'Características dos Cabos MX'!$C$15:$J$20,2),(IF(J118="Quadruplex",VLOOKUP(M118,'Características dos Cabos MX'!$C$21:$K$27,2),(IF(J118="13",VLOOKUP(M118,'Características dos Cabos MX'!$C$15:$L$20,2),"")))))))</f>
        <v/>
      </c>
      <c r="V118" s="221" t="str">
        <f>IF(J118="Duplex",VLOOKUP(M118,'Características dos Cabos MX'!$C$12:$I$14,3),(IF(J118="Triplex",VLOOKUP(M118,'Características dos Cabos MX'!$C$15:$J$20,3),(IF(J118="Quadruplex",VLOOKUP(M118,'Características dos Cabos MX'!$C$21:$K$27,3),(IF(J118="13",VLOOKUP(M118,'Características dos Cabos MX'!$C$15:$L$20,3),"")))))))</f>
        <v/>
      </c>
      <c r="W118" s="224" t="str">
        <f t="shared" si="34"/>
        <v/>
      </c>
      <c r="X118" s="224" t="str">
        <f t="shared" si="35"/>
        <v/>
      </c>
      <c r="Y118" s="225" t="str">
        <f t="shared" si="36"/>
        <v/>
      </c>
      <c r="AA118" s="298">
        <f t="shared" si="32"/>
        <v>0</v>
      </c>
      <c r="AB118" s="298">
        <f t="shared" si="27"/>
        <v>0</v>
      </c>
      <c r="AC118" s="284"/>
      <c r="AE118" s="299" t="str">
        <f t="shared" si="28"/>
        <v/>
      </c>
      <c r="AF118" s="334">
        <f t="shared" si="29"/>
        <v>0</v>
      </c>
    </row>
    <row r="119" spans="1:32" ht="15" customHeight="1" x14ac:dyDescent="0.25">
      <c r="A119" s="575"/>
      <c r="B119" s="564"/>
      <c r="C119" s="432"/>
      <c r="D119" s="433"/>
      <c r="E119" s="438"/>
      <c r="F119" s="216" t="str">
        <f t="shared" si="30"/>
        <v/>
      </c>
      <c r="G119" s="451"/>
      <c r="H119" s="217" t="str">
        <f>IF(AND(E119="",G119=""),"",SUM(F119:G125))</f>
        <v/>
      </c>
      <c r="I119" s="218"/>
      <c r="J119" s="259"/>
      <c r="K119" s="259"/>
      <c r="L119" s="226" t="str">
        <f>IF(J119="Duplex",VLOOKUP(M119,'Características dos Cabos MX'!$C$12:$I$14,7),(IF(J119="Triplex",VLOOKUP(M119,'Características dos Cabos MX'!$C$15:$J$20,8),(IF(J119="Quadruplex",VLOOKUP(M119,'Características dos Cabos MX'!$C$21:$K$27,9),(IF(J119="13",VLOOKUP(M119,'Características dos Cabos MX'!$C$15:$L$20,10),"")))))))</f>
        <v/>
      </c>
      <c r="M119" s="410" t="str">
        <f t="shared" si="25"/>
        <v/>
      </c>
      <c r="N119" s="444"/>
      <c r="O119" s="219" t="str">
        <f t="shared" si="31"/>
        <v/>
      </c>
      <c r="P119" s="220" t="str">
        <f t="shared" si="37"/>
        <v/>
      </c>
      <c r="Q119" s="220" t="str">
        <f t="shared" si="26"/>
        <v/>
      </c>
      <c r="R119" s="221" t="str">
        <f>IF(J119="Duplex",VLOOKUP(M119,'Características dos Cabos MX'!$C$12:$I$14,5),(IF(J119="Triplex",VLOOKUP(M119,'Características dos Cabos MX'!$C$15:$J$20,5),(IF(J119="Quadruplex",VLOOKUP(M119,'Características dos Cabos MX'!$C$21:$K$27,5),(IF(J119="13",VLOOKUP(M119,'Características dos Cabos MX'!$C$15:$L$20,5),"")))))))</f>
        <v/>
      </c>
      <c r="S119" s="221" t="str">
        <f>IF(J119="Duplex",VLOOKUP(M119,'Características dos Cabos MX'!$C$12:$I$14,6),(IF(J119="Triplex",VLOOKUP(M119,'Características dos Cabos MX'!$C$15:$J$20,6),(IF(J119="Quadruplex",VLOOKUP(M119,'Características dos Cabos MX'!$C$21:$K$27,6),(IF(J119="13",VLOOKUP(M119,'Características dos Cabos MX'!$C$15:$L$20,6),"")))))))</f>
        <v/>
      </c>
      <c r="T119" s="222" t="str">
        <f t="shared" si="33"/>
        <v/>
      </c>
      <c r="U119" s="223" t="str">
        <f>IF(J119="Duplex",VLOOKUP(M119,'Características dos Cabos MX'!$C$12:$I$14,2),(IF(J119="Triplex",VLOOKUP(M119,'Características dos Cabos MX'!$C$15:$J$20,2),(IF(J119="Quadruplex",VLOOKUP(M119,'Características dos Cabos MX'!$C$21:$K$27,2),(IF(J119="13",VLOOKUP(M119,'Características dos Cabos MX'!$C$15:$L$20,2),"")))))))</f>
        <v/>
      </c>
      <c r="V119" s="221" t="str">
        <f>IF(J119="Duplex",VLOOKUP(M119,'Características dos Cabos MX'!$C$12:$I$14,3),(IF(J119="Triplex",VLOOKUP(M119,'Características dos Cabos MX'!$C$15:$J$20,3),(IF(J119="Quadruplex",VLOOKUP(M119,'Características dos Cabos MX'!$C$21:$K$27,3),(IF(J119="13",VLOOKUP(M119,'Características dos Cabos MX'!$C$15:$L$20,3),"")))))))</f>
        <v/>
      </c>
      <c r="W119" s="224" t="str">
        <f t="shared" si="34"/>
        <v/>
      </c>
      <c r="X119" s="224" t="str">
        <f t="shared" si="35"/>
        <v/>
      </c>
      <c r="Y119" s="225" t="str">
        <f t="shared" si="36"/>
        <v/>
      </c>
      <c r="AA119" s="298">
        <f t="shared" si="32"/>
        <v>0</v>
      </c>
      <c r="AB119" s="298">
        <f t="shared" si="27"/>
        <v>0</v>
      </c>
      <c r="AC119" s="284"/>
      <c r="AE119" s="299" t="str">
        <f t="shared" si="28"/>
        <v/>
      </c>
      <c r="AF119" s="334">
        <f t="shared" si="29"/>
        <v>0</v>
      </c>
    </row>
    <row r="120" spans="1:32" ht="15" customHeight="1" x14ac:dyDescent="0.25">
      <c r="A120" s="575"/>
      <c r="B120" s="564"/>
      <c r="C120" s="432"/>
      <c r="D120" s="433"/>
      <c r="E120" s="438"/>
      <c r="F120" s="216" t="str">
        <f t="shared" si="30"/>
        <v/>
      </c>
      <c r="G120" s="451"/>
      <c r="H120" s="217" t="str">
        <f>IF(AND(E120="",G120=""),"",SUM(F120:G125))</f>
        <v/>
      </c>
      <c r="I120" s="218"/>
      <c r="J120" s="259"/>
      <c r="K120" s="259"/>
      <c r="L120" s="226" t="str">
        <f>IF(J120="Duplex",VLOOKUP(M120,'Características dos Cabos MX'!$C$12:$I$14,7),(IF(J120="Triplex",VLOOKUP(M120,'Características dos Cabos MX'!$C$15:$J$20,8),(IF(J120="Quadruplex",VLOOKUP(M120,'Características dos Cabos MX'!$C$21:$K$27,9),(IF(J120="13",VLOOKUP(M120,'Características dos Cabos MX'!$C$15:$L$20,10),"")))))))</f>
        <v/>
      </c>
      <c r="M120" s="410" t="str">
        <f t="shared" si="25"/>
        <v/>
      </c>
      <c r="N120" s="444"/>
      <c r="O120" s="219" t="str">
        <f t="shared" si="31"/>
        <v/>
      </c>
      <c r="P120" s="220" t="str">
        <f t="shared" si="37"/>
        <v/>
      </c>
      <c r="Q120" s="220" t="str">
        <f t="shared" si="26"/>
        <v/>
      </c>
      <c r="R120" s="221" t="str">
        <f>IF(J120="Duplex",VLOOKUP(M120,'Características dos Cabos MX'!$C$12:$I$14,5),(IF(J120="Triplex",VLOOKUP(M120,'Características dos Cabos MX'!$C$15:$J$20,5),(IF(J120="Quadruplex",VLOOKUP(M120,'Características dos Cabos MX'!$C$21:$K$27,5),(IF(J120="13",VLOOKUP(M120,'Características dos Cabos MX'!$C$15:$L$20,5),"")))))))</f>
        <v/>
      </c>
      <c r="S120" s="221" t="str">
        <f>IF(J120="Duplex",VLOOKUP(M120,'Características dos Cabos MX'!$C$12:$I$14,6),(IF(J120="Triplex",VLOOKUP(M120,'Características dos Cabos MX'!$C$15:$J$20,6),(IF(J120="Quadruplex",VLOOKUP(M120,'Características dos Cabos MX'!$C$21:$K$27,6),(IF(J120="13",VLOOKUP(M120,'Características dos Cabos MX'!$C$15:$L$20,6),"")))))))</f>
        <v/>
      </c>
      <c r="T120" s="222" t="str">
        <f t="shared" si="33"/>
        <v/>
      </c>
      <c r="U120" s="223" t="str">
        <f>IF(J120="Duplex",VLOOKUP(M120,'Características dos Cabos MX'!$C$12:$I$14,2),(IF(J120="Triplex",VLOOKUP(M120,'Características dos Cabos MX'!$C$15:$J$20,2),(IF(J120="Quadruplex",VLOOKUP(M120,'Características dos Cabos MX'!$C$21:$K$27,2),(IF(J120="13",VLOOKUP(M120,'Características dos Cabos MX'!$C$15:$L$20,2),"")))))))</f>
        <v/>
      </c>
      <c r="V120" s="221" t="str">
        <f>IF(J120="Duplex",VLOOKUP(M120,'Características dos Cabos MX'!$C$12:$I$14,3),(IF(J120="Triplex",VLOOKUP(M120,'Características dos Cabos MX'!$C$15:$J$20,3),(IF(J120="Quadruplex",VLOOKUP(M120,'Características dos Cabos MX'!$C$21:$K$27,3),(IF(J120="13",VLOOKUP(M120,'Características dos Cabos MX'!$C$15:$L$20,3),"")))))))</f>
        <v/>
      </c>
      <c r="W120" s="224" t="str">
        <f t="shared" si="34"/>
        <v/>
      </c>
      <c r="X120" s="224" t="str">
        <f t="shared" si="35"/>
        <v/>
      </c>
      <c r="Y120" s="225" t="str">
        <f t="shared" si="36"/>
        <v/>
      </c>
      <c r="AA120" s="298">
        <f t="shared" si="32"/>
        <v>0</v>
      </c>
      <c r="AB120" s="298">
        <f t="shared" si="27"/>
        <v>0</v>
      </c>
      <c r="AC120" s="284"/>
      <c r="AE120" s="299" t="str">
        <f t="shared" si="28"/>
        <v/>
      </c>
      <c r="AF120" s="334">
        <f t="shared" si="29"/>
        <v>0</v>
      </c>
    </row>
    <row r="121" spans="1:32" ht="15" customHeight="1" x14ac:dyDescent="0.25">
      <c r="A121" s="575"/>
      <c r="B121" s="564"/>
      <c r="C121" s="432"/>
      <c r="D121" s="433"/>
      <c r="E121" s="438"/>
      <c r="F121" s="216" t="str">
        <f t="shared" si="30"/>
        <v/>
      </c>
      <c r="G121" s="451"/>
      <c r="H121" s="217" t="str">
        <f>IF(AND(E121="",G121=""),"",SUM(F121:G125))</f>
        <v/>
      </c>
      <c r="I121" s="218"/>
      <c r="J121" s="259"/>
      <c r="K121" s="259"/>
      <c r="L121" s="226" t="str">
        <f>IF(J121="Duplex",VLOOKUP(M121,'Características dos Cabos MX'!$C$12:$I$14,7),(IF(J121="Triplex",VLOOKUP(M121,'Características dos Cabos MX'!$C$15:$J$20,8),(IF(J121="Quadruplex",VLOOKUP(M121,'Características dos Cabos MX'!$C$21:$K$27,9),(IF(J121="13",VLOOKUP(M121,'Características dos Cabos MX'!$C$15:$L$20,10),"")))))))</f>
        <v/>
      </c>
      <c r="M121" s="410" t="str">
        <f t="shared" si="25"/>
        <v/>
      </c>
      <c r="N121" s="444"/>
      <c r="O121" s="219" t="str">
        <f t="shared" si="31"/>
        <v/>
      </c>
      <c r="P121" s="220" t="str">
        <f t="shared" si="37"/>
        <v/>
      </c>
      <c r="Q121" s="220" t="str">
        <f t="shared" si="26"/>
        <v/>
      </c>
      <c r="R121" s="221" t="str">
        <f>IF(J121="Duplex",VLOOKUP(M121,'Características dos Cabos MX'!$C$12:$I$14,5),(IF(J121="Triplex",VLOOKUP(M121,'Características dos Cabos MX'!$C$15:$J$20,5),(IF(J121="Quadruplex",VLOOKUP(M121,'Características dos Cabos MX'!$C$21:$K$27,5),(IF(J121="13",VLOOKUP(M121,'Características dos Cabos MX'!$C$15:$L$20,5),"")))))))</f>
        <v/>
      </c>
      <c r="S121" s="221" t="str">
        <f>IF(J121="Duplex",VLOOKUP(M121,'Características dos Cabos MX'!$C$12:$I$14,6),(IF(J121="Triplex",VLOOKUP(M121,'Características dos Cabos MX'!$C$15:$J$20,6),(IF(J121="Quadruplex",VLOOKUP(M121,'Características dos Cabos MX'!$C$21:$K$27,6),(IF(J121="13",VLOOKUP(M121,'Características dos Cabos MX'!$C$15:$L$20,6),"")))))))</f>
        <v/>
      </c>
      <c r="T121" s="222" t="str">
        <f t="shared" si="33"/>
        <v/>
      </c>
      <c r="U121" s="223" t="str">
        <f>IF(J121="Duplex",VLOOKUP(M121,'Características dos Cabos MX'!$C$12:$I$14,2),(IF(J121="Triplex",VLOOKUP(M121,'Características dos Cabos MX'!$C$15:$J$20,2),(IF(J121="Quadruplex",VLOOKUP(M121,'Características dos Cabos MX'!$C$21:$K$27,2),(IF(J121="13",VLOOKUP(M121,'Características dos Cabos MX'!$C$15:$L$20,2),"")))))))</f>
        <v/>
      </c>
      <c r="V121" s="221" t="str">
        <f>IF(J121="Duplex",VLOOKUP(M121,'Características dos Cabos MX'!$C$12:$I$14,3),(IF(J121="Triplex",VLOOKUP(M121,'Características dos Cabos MX'!$C$15:$J$20,3),(IF(J121="Quadruplex",VLOOKUP(M121,'Características dos Cabos MX'!$C$21:$K$27,3),(IF(J121="13",VLOOKUP(M121,'Características dos Cabos MX'!$C$15:$L$20,3),"")))))))</f>
        <v/>
      </c>
      <c r="W121" s="224" t="str">
        <f t="shared" si="34"/>
        <v/>
      </c>
      <c r="X121" s="224" t="str">
        <f t="shared" si="35"/>
        <v/>
      </c>
      <c r="Y121" s="225" t="str">
        <f t="shared" si="36"/>
        <v/>
      </c>
      <c r="AA121" s="298">
        <f t="shared" si="32"/>
        <v>0</v>
      </c>
      <c r="AB121" s="298">
        <f t="shared" si="27"/>
        <v>0</v>
      </c>
      <c r="AC121" s="284"/>
      <c r="AE121" s="299" t="str">
        <f t="shared" si="28"/>
        <v/>
      </c>
      <c r="AF121" s="334">
        <f t="shared" si="29"/>
        <v>0</v>
      </c>
    </row>
    <row r="122" spans="1:32" ht="15" customHeight="1" x14ac:dyDescent="0.25">
      <c r="A122" s="575"/>
      <c r="B122" s="564"/>
      <c r="C122" s="432"/>
      <c r="D122" s="433"/>
      <c r="E122" s="438"/>
      <c r="F122" s="216" t="str">
        <f t="shared" si="30"/>
        <v/>
      </c>
      <c r="G122" s="451"/>
      <c r="H122" s="217" t="str">
        <f>IF(AND(E122="",G122=""),"",SUM(F122:G125))</f>
        <v/>
      </c>
      <c r="I122" s="218"/>
      <c r="J122" s="259"/>
      <c r="K122" s="259"/>
      <c r="L122" s="226" t="str">
        <f>IF(J122="Duplex",VLOOKUP(M122,'Características dos Cabos MX'!$C$12:$I$14,7),(IF(J122="Triplex",VLOOKUP(M122,'Características dos Cabos MX'!$C$15:$J$20,8),(IF(J122="Quadruplex",VLOOKUP(M122,'Características dos Cabos MX'!$C$21:$K$27,9),(IF(J122="13",VLOOKUP(M122,'Características dos Cabos MX'!$C$15:$L$20,10),"")))))))</f>
        <v/>
      </c>
      <c r="M122" s="410" t="str">
        <f t="shared" si="25"/>
        <v/>
      </c>
      <c r="N122" s="444"/>
      <c r="O122" s="219" t="str">
        <f t="shared" si="31"/>
        <v/>
      </c>
      <c r="P122" s="220" t="str">
        <f t="shared" si="37"/>
        <v/>
      </c>
      <c r="Q122" s="220" t="str">
        <f t="shared" si="26"/>
        <v/>
      </c>
      <c r="R122" s="221" t="str">
        <f>IF(J122="Duplex",VLOOKUP(M122,'Características dos Cabos MX'!$C$12:$I$14,5),(IF(J122="Triplex",VLOOKUP(M122,'Características dos Cabos MX'!$C$15:$J$20,5),(IF(J122="Quadruplex",VLOOKUP(M122,'Características dos Cabos MX'!$C$21:$K$27,5),(IF(J122="13",VLOOKUP(M122,'Características dos Cabos MX'!$C$15:$L$20,5),"")))))))</f>
        <v/>
      </c>
      <c r="S122" s="221" t="str">
        <f>IF(J122="Duplex",VLOOKUP(M122,'Características dos Cabos MX'!$C$12:$I$14,6),(IF(J122="Triplex",VLOOKUP(M122,'Características dos Cabos MX'!$C$15:$J$20,6),(IF(J122="Quadruplex",VLOOKUP(M122,'Características dos Cabos MX'!$C$21:$K$27,6),(IF(J122="13",VLOOKUP(M122,'Características dos Cabos MX'!$C$15:$L$20,6),"")))))))</f>
        <v/>
      </c>
      <c r="T122" s="222" t="str">
        <f t="shared" si="33"/>
        <v/>
      </c>
      <c r="U122" s="223" t="str">
        <f>IF(J122="Duplex",VLOOKUP(M122,'Características dos Cabos MX'!$C$12:$I$14,2),(IF(J122="Triplex",VLOOKUP(M122,'Características dos Cabos MX'!$C$15:$J$20,2),(IF(J122="Quadruplex",VLOOKUP(M122,'Características dos Cabos MX'!$C$21:$K$27,2),(IF(J122="13",VLOOKUP(M122,'Características dos Cabos MX'!$C$15:$L$20,2),"")))))))</f>
        <v/>
      </c>
      <c r="V122" s="221" t="str">
        <f>IF(J122="Duplex",VLOOKUP(M122,'Características dos Cabos MX'!$C$12:$I$14,3),(IF(J122="Triplex",VLOOKUP(M122,'Características dos Cabos MX'!$C$15:$J$20,3),(IF(J122="Quadruplex",VLOOKUP(M122,'Características dos Cabos MX'!$C$21:$K$27,3),(IF(J122="13",VLOOKUP(M122,'Características dos Cabos MX'!$C$15:$L$20,3),"")))))))</f>
        <v/>
      </c>
      <c r="W122" s="224" t="str">
        <f t="shared" si="34"/>
        <v/>
      </c>
      <c r="X122" s="224" t="str">
        <f t="shared" si="35"/>
        <v/>
      </c>
      <c r="Y122" s="225" t="str">
        <f t="shared" si="36"/>
        <v/>
      </c>
      <c r="AA122" s="298">
        <f t="shared" si="32"/>
        <v>0</v>
      </c>
      <c r="AB122" s="298">
        <f t="shared" si="27"/>
        <v>0</v>
      </c>
      <c r="AC122" s="284"/>
      <c r="AE122" s="299" t="str">
        <f t="shared" si="28"/>
        <v/>
      </c>
      <c r="AF122" s="334">
        <f t="shared" si="29"/>
        <v>0</v>
      </c>
    </row>
    <row r="123" spans="1:32" ht="15" customHeight="1" x14ac:dyDescent="0.25">
      <c r="A123" s="575"/>
      <c r="B123" s="564"/>
      <c r="C123" s="432"/>
      <c r="D123" s="433"/>
      <c r="E123" s="438"/>
      <c r="F123" s="216" t="str">
        <f t="shared" si="30"/>
        <v/>
      </c>
      <c r="G123" s="451"/>
      <c r="H123" s="217" t="str">
        <f>IF(AND(E123="",G123=""),"",SUM(F123:G125))</f>
        <v/>
      </c>
      <c r="I123" s="218"/>
      <c r="J123" s="259"/>
      <c r="K123" s="259"/>
      <c r="L123" s="226" t="str">
        <f>IF(J123="Duplex",VLOOKUP(M123,'Características dos Cabos MX'!$C$12:$I$14,7),(IF(J123="Triplex",VLOOKUP(M123,'Características dos Cabos MX'!$C$15:$J$20,8),(IF(J123="Quadruplex",VLOOKUP(M123,'Características dos Cabos MX'!$C$21:$K$27,9),(IF(J123="13",VLOOKUP(M123,'Características dos Cabos MX'!$C$15:$L$20,10),"")))))))</f>
        <v/>
      </c>
      <c r="M123" s="410" t="str">
        <f t="shared" si="25"/>
        <v/>
      </c>
      <c r="N123" s="444"/>
      <c r="O123" s="219" t="str">
        <f t="shared" si="31"/>
        <v/>
      </c>
      <c r="P123" s="220" t="str">
        <f t="shared" si="37"/>
        <v/>
      </c>
      <c r="Q123" s="220" t="str">
        <f t="shared" si="26"/>
        <v/>
      </c>
      <c r="R123" s="221" t="str">
        <f>IF(J123="Duplex",VLOOKUP(M123,'Características dos Cabos MX'!$C$12:$I$14,5),(IF(J123="Triplex",VLOOKUP(M123,'Características dos Cabos MX'!$C$15:$J$20,5),(IF(J123="Quadruplex",VLOOKUP(M123,'Características dos Cabos MX'!$C$21:$K$27,5),(IF(J123="13",VLOOKUP(M123,'Características dos Cabos MX'!$C$15:$L$20,5),"")))))))</f>
        <v/>
      </c>
      <c r="S123" s="221" t="str">
        <f>IF(J123="Duplex",VLOOKUP(M123,'Características dos Cabos MX'!$C$12:$I$14,6),(IF(J123="Triplex",VLOOKUP(M123,'Características dos Cabos MX'!$C$15:$J$20,6),(IF(J123="Quadruplex",VLOOKUP(M123,'Características dos Cabos MX'!$C$21:$K$27,6),(IF(J123="13",VLOOKUP(M123,'Características dos Cabos MX'!$C$15:$L$20,6),"")))))))</f>
        <v/>
      </c>
      <c r="T123" s="222" t="str">
        <f t="shared" si="33"/>
        <v/>
      </c>
      <c r="U123" s="223" t="str">
        <f>IF(J123="Duplex",VLOOKUP(M123,'Características dos Cabos MX'!$C$12:$I$14,2),(IF(J123="Triplex",VLOOKUP(M123,'Características dos Cabos MX'!$C$15:$J$20,2),(IF(J123="Quadruplex",VLOOKUP(M123,'Características dos Cabos MX'!$C$21:$K$27,2),(IF(J123="13",VLOOKUP(M123,'Características dos Cabos MX'!$C$15:$L$20,2),"")))))))</f>
        <v/>
      </c>
      <c r="V123" s="221" t="str">
        <f>IF(J123="Duplex",VLOOKUP(M123,'Características dos Cabos MX'!$C$12:$I$14,3),(IF(J123="Triplex",VLOOKUP(M123,'Características dos Cabos MX'!$C$15:$J$20,3),(IF(J123="Quadruplex",VLOOKUP(M123,'Características dos Cabos MX'!$C$21:$K$27,3),(IF(J123="13",VLOOKUP(M123,'Características dos Cabos MX'!$C$15:$L$20,3),"")))))))</f>
        <v/>
      </c>
      <c r="W123" s="224" t="str">
        <f t="shared" si="34"/>
        <v/>
      </c>
      <c r="X123" s="224" t="str">
        <f t="shared" si="35"/>
        <v/>
      </c>
      <c r="Y123" s="225" t="str">
        <f t="shared" si="36"/>
        <v/>
      </c>
      <c r="AA123" s="298">
        <f t="shared" si="32"/>
        <v>0</v>
      </c>
      <c r="AB123" s="298">
        <f t="shared" si="27"/>
        <v>0</v>
      </c>
      <c r="AC123" s="284"/>
      <c r="AE123" s="299" t="str">
        <f t="shared" si="28"/>
        <v/>
      </c>
      <c r="AF123" s="334">
        <f t="shared" si="29"/>
        <v>0</v>
      </c>
    </row>
    <row r="124" spans="1:32" ht="15" customHeight="1" x14ac:dyDescent="0.25">
      <c r="A124" s="575"/>
      <c r="B124" s="564"/>
      <c r="C124" s="432"/>
      <c r="D124" s="433"/>
      <c r="E124" s="438"/>
      <c r="F124" s="216" t="str">
        <f t="shared" si="30"/>
        <v/>
      </c>
      <c r="G124" s="451"/>
      <c r="H124" s="217" t="str">
        <f>IF(AND(E124="",G124=""),"",SUM(F124:G125))</f>
        <v/>
      </c>
      <c r="I124" s="218"/>
      <c r="J124" s="259"/>
      <c r="K124" s="259"/>
      <c r="L124" s="226" t="str">
        <f>IF(J124="Duplex",VLOOKUP(M124,'Características dos Cabos MX'!$C$12:$I$14,7),(IF(J124="Triplex",VLOOKUP(M124,'Características dos Cabos MX'!$C$15:$J$20,8),(IF(J124="Quadruplex",VLOOKUP(M124,'Características dos Cabos MX'!$C$21:$K$27,9),(IF(J124="13",VLOOKUP(M124,'Características dos Cabos MX'!$C$15:$L$20,10),"")))))))</f>
        <v/>
      </c>
      <c r="M124" s="410" t="str">
        <f t="shared" si="25"/>
        <v/>
      </c>
      <c r="N124" s="444"/>
      <c r="O124" s="219" t="str">
        <f t="shared" si="31"/>
        <v/>
      </c>
      <c r="P124" s="220" t="str">
        <f t="shared" si="37"/>
        <v/>
      </c>
      <c r="Q124" s="220" t="str">
        <f t="shared" si="26"/>
        <v/>
      </c>
      <c r="R124" s="221" t="str">
        <f>IF(J124="Duplex",VLOOKUP(M124,'Características dos Cabos MX'!$C$12:$I$14,5),(IF(J124="Triplex",VLOOKUP(M124,'Características dos Cabos MX'!$C$15:$J$20,5),(IF(J124="Quadruplex",VLOOKUP(M124,'Características dos Cabos MX'!$C$21:$K$27,5),(IF(J124="13",VLOOKUP(M124,'Características dos Cabos MX'!$C$15:$L$20,5),"")))))))</f>
        <v/>
      </c>
      <c r="S124" s="221" t="str">
        <f>IF(J124="Duplex",VLOOKUP(M124,'Características dos Cabos MX'!$C$12:$I$14,6),(IF(J124="Triplex",VLOOKUP(M124,'Características dos Cabos MX'!$C$15:$J$20,6),(IF(J124="Quadruplex",VLOOKUP(M124,'Características dos Cabos MX'!$C$21:$K$27,6),(IF(J124="13",VLOOKUP(M124,'Características dos Cabos MX'!$C$15:$L$20,6),"")))))))</f>
        <v/>
      </c>
      <c r="T124" s="222" t="str">
        <f t="shared" si="33"/>
        <v/>
      </c>
      <c r="U124" s="223" t="str">
        <f>IF(J124="Duplex",VLOOKUP(M124,'Características dos Cabos MX'!$C$12:$I$14,2),(IF(J124="Triplex",VLOOKUP(M124,'Características dos Cabos MX'!$C$15:$J$20,2),(IF(J124="Quadruplex",VLOOKUP(M124,'Características dos Cabos MX'!$C$21:$K$27,2),(IF(J124="13",VLOOKUP(M124,'Características dos Cabos MX'!$C$15:$L$20,2),"")))))))</f>
        <v/>
      </c>
      <c r="V124" s="221" t="str">
        <f>IF(J124="Duplex",VLOOKUP(M124,'Características dos Cabos MX'!$C$12:$I$14,3),(IF(J124="Triplex",VLOOKUP(M124,'Características dos Cabos MX'!$C$15:$J$20,3),(IF(J124="Quadruplex",VLOOKUP(M124,'Características dos Cabos MX'!$C$21:$K$27,3),(IF(J124="13",VLOOKUP(M124,'Características dos Cabos MX'!$C$15:$L$20,3),"")))))))</f>
        <v/>
      </c>
      <c r="W124" s="224" t="str">
        <f t="shared" si="34"/>
        <v/>
      </c>
      <c r="X124" s="224" t="str">
        <f t="shared" si="35"/>
        <v/>
      </c>
      <c r="Y124" s="225" t="str">
        <f t="shared" si="36"/>
        <v/>
      </c>
      <c r="AA124" s="298">
        <f t="shared" si="32"/>
        <v>0</v>
      </c>
      <c r="AB124" s="298">
        <f t="shared" si="27"/>
        <v>0</v>
      </c>
      <c r="AC124" s="284"/>
      <c r="AE124" s="299" t="str">
        <f t="shared" si="28"/>
        <v/>
      </c>
      <c r="AF124" s="334">
        <f t="shared" si="29"/>
        <v>0</v>
      </c>
    </row>
    <row r="125" spans="1:32" ht="15" customHeight="1" thickBot="1" x14ac:dyDescent="0.3">
      <c r="A125" s="575"/>
      <c r="B125" s="565"/>
      <c r="C125" s="434"/>
      <c r="D125" s="435"/>
      <c r="E125" s="434"/>
      <c r="F125" s="228" t="str">
        <f t="shared" si="30"/>
        <v/>
      </c>
      <c r="G125" s="452"/>
      <c r="H125" s="229" t="str">
        <f>IF(AND(E125="",G125=""),"",SUM(F125:G125))</f>
        <v/>
      </c>
      <c r="I125" s="230"/>
      <c r="J125" s="260"/>
      <c r="K125" s="260"/>
      <c r="L125" s="231" t="str">
        <f>IF(J125="Duplex",VLOOKUP(M125,'Características dos Cabos MX'!$C$12:$I$14,7),(IF(J125="Triplex",VLOOKUP(M125,'Características dos Cabos MX'!$C$15:$J$20,8),(IF(J125="Quadruplex",VLOOKUP(M125,'Características dos Cabos MX'!$C$21:$K$27,9),(IF(J125="13",VLOOKUP(M125,'Características dos Cabos MX'!$C$15:$L$20,10),"")))))))</f>
        <v/>
      </c>
      <c r="M125" s="412" t="str">
        <f t="shared" si="25"/>
        <v/>
      </c>
      <c r="N125" s="445"/>
      <c r="O125" s="232" t="str">
        <f t="shared" si="31"/>
        <v/>
      </c>
      <c r="P125" s="233" t="str">
        <f t="shared" si="37"/>
        <v/>
      </c>
      <c r="Q125" s="233" t="str">
        <f t="shared" si="26"/>
        <v/>
      </c>
      <c r="R125" s="234" t="str">
        <f>IF(J125="Duplex",VLOOKUP(M125,'Características dos Cabos MX'!$C$12:$I$14,5),(IF(J125="Triplex",VLOOKUP(M125,'Características dos Cabos MX'!$C$15:$J$20,5),(IF(J125="Quadruplex",VLOOKUP(M125,'Características dos Cabos MX'!$C$21:$K$27,5),(IF(J125="13",VLOOKUP(M125,'Características dos Cabos MX'!$C$15:$L$20,5),"")))))))</f>
        <v/>
      </c>
      <c r="S125" s="234" t="str">
        <f>IF(J125="Duplex",VLOOKUP(M125,'Características dos Cabos MX'!$C$12:$I$14,6),(IF(J125="Triplex",VLOOKUP(M125,'Características dos Cabos MX'!$C$15:$J$20,6),(IF(J125="Quadruplex",VLOOKUP(M125,'Características dos Cabos MX'!$C$21:$K$27,6),(IF(J125="13",VLOOKUP(M125,'Características dos Cabos MX'!$C$15:$L$20,6),"")))))))</f>
        <v/>
      </c>
      <c r="T125" s="235" t="str">
        <f t="shared" si="33"/>
        <v/>
      </c>
      <c r="U125" s="236" t="str">
        <f>IF(J125="Duplex",VLOOKUP(M125,'Características dos Cabos MX'!$C$12:$I$14,2),(IF(J125="Triplex",VLOOKUP(M125,'Características dos Cabos MX'!$C$15:$J$20,2),(IF(J125="Quadruplex",VLOOKUP(M125,'Características dos Cabos MX'!$C$21:$K$27,2),(IF(J125="13",VLOOKUP(M125,'Características dos Cabos MX'!$C$15:$L$20,2),"")))))))</f>
        <v/>
      </c>
      <c r="V125" s="234" t="str">
        <f>IF(J125="Duplex",VLOOKUP(M125,'Características dos Cabos MX'!$C$12:$I$14,3),(IF(J125="Triplex",VLOOKUP(M125,'Características dos Cabos MX'!$C$15:$J$20,3),(IF(J125="Quadruplex",VLOOKUP(M125,'Características dos Cabos MX'!$C$21:$K$27,3),(IF(J125="13",VLOOKUP(M125,'Características dos Cabos MX'!$C$15:$L$20,3),"")))))))</f>
        <v/>
      </c>
      <c r="W125" s="237" t="str">
        <f t="shared" si="34"/>
        <v/>
      </c>
      <c r="X125" s="237" t="str">
        <f t="shared" si="35"/>
        <v/>
      </c>
      <c r="Y125" s="238" t="str">
        <f t="shared" si="36"/>
        <v/>
      </c>
      <c r="AA125" s="298">
        <f t="shared" si="32"/>
        <v>0</v>
      </c>
      <c r="AB125" s="298">
        <f t="shared" si="27"/>
        <v>0</v>
      </c>
      <c r="AC125" s="284"/>
      <c r="AE125" s="299" t="str">
        <f t="shared" si="28"/>
        <v/>
      </c>
      <c r="AF125" s="334">
        <f t="shared" si="29"/>
        <v>0</v>
      </c>
    </row>
    <row r="126" spans="1:32" ht="15" customHeight="1" thickTop="1" x14ac:dyDescent="0.25">
      <c r="A126" s="575"/>
      <c r="B126" s="563" t="str">
        <f>CONCATENATE("Ramal 9 - Derivando no ponto ",C126)</f>
        <v xml:space="preserve">Ramal 9 - Derivando no ponto </v>
      </c>
      <c r="C126" s="431"/>
      <c r="D126" s="436"/>
      <c r="E126" s="440"/>
      <c r="F126" s="239" t="str">
        <f t="shared" si="30"/>
        <v/>
      </c>
      <c r="G126" s="453"/>
      <c r="H126" s="240" t="str">
        <f>IF(AND(E126="",G126=""),"",SUM(F126:G135))</f>
        <v/>
      </c>
      <c r="I126" s="241"/>
      <c r="J126" s="262"/>
      <c r="K126" s="262"/>
      <c r="L126" s="242" t="str">
        <f>IF(J126="Duplex",VLOOKUP(M126,'Características dos Cabos MX'!$C$12:$I$14,7),(IF(J126="Triplex",VLOOKUP(M126,'Características dos Cabos MX'!$C$15:$J$20,8),(IF(J126="Quadruplex",VLOOKUP(M126,'Características dos Cabos MX'!$C$21:$K$27,9),(IF(J126="13",VLOOKUP(M126,'Características dos Cabos MX'!$C$15:$L$20,10),"")))))))</f>
        <v/>
      </c>
      <c r="M126" s="413" t="str">
        <f t="shared" si="25"/>
        <v/>
      </c>
      <c r="N126" s="446"/>
      <c r="O126" s="243" t="str">
        <f t="shared" si="31"/>
        <v/>
      </c>
      <c r="P126" s="244" t="str">
        <f>IF(O126="","",O126+VLOOKUP(C126,$D$20:$Q$126,13,FALSE))</f>
        <v/>
      </c>
      <c r="Q126" s="244" t="str">
        <f t="shared" si="26"/>
        <v/>
      </c>
      <c r="R126" s="245" t="str">
        <f>IF(J126="Duplex",VLOOKUP(M126,'Características dos Cabos MX'!$C$12:$I$14,5),(IF(J126="Triplex",VLOOKUP(M126,'Características dos Cabos MX'!$C$15:$J$20,5),(IF(J126="Quadruplex",VLOOKUP(M126,'Características dos Cabos MX'!$C$21:$K$27,5),(IF(J126="13",VLOOKUP(M126,'Características dos Cabos MX'!$C$15:$L$20,5),"")))))))</f>
        <v/>
      </c>
      <c r="S126" s="245" t="str">
        <f>IF(J126="Duplex",VLOOKUP(M126,'Características dos Cabos MX'!$C$12:$I$14,6),(IF(J126="Triplex",VLOOKUP(M126,'Características dos Cabos MX'!$C$15:$J$20,6),(IF(J126="Quadruplex",VLOOKUP(M126,'Características dos Cabos MX'!$C$21:$K$27,6),(IF(J126="13",VLOOKUP(M126,'Características dos Cabos MX'!$C$15:$L$20,6),"")))))))</f>
        <v/>
      </c>
      <c r="T126" s="246" t="str">
        <f t="shared" si="33"/>
        <v/>
      </c>
      <c r="U126" s="247" t="str">
        <f>IF(J126="Duplex",VLOOKUP(M126,'Características dos Cabos MX'!$C$12:$I$14,2),(IF(J126="Triplex",VLOOKUP(M126,'Características dos Cabos MX'!$C$15:$J$20,2),(IF(J126="Quadruplex",VLOOKUP(M126,'Características dos Cabos MX'!$C$21:$K$27,2),(IF(J126="13",VLOOKUP(M126,'Características dos Cabos MX'!$C$15:$L$20,2),"")))))))</f>
        <v/>
      </c>
      <c r="V126" s="245" t="str">
        <f>IF(J126="Duplex",VLOOKUP(M126,'Características dos Cabos MX'!$C$12:$I$14,3),(IF(J126="Triplex",VLOOKUP(M126,'Características dos Cabos MX'!$C$15:$J$20,3),(IF(J126="Quadruplex",VLOOKUP(M126,'Características dos Cabos MX'!$C$21:$K$27,3),(IF(J126="13",VLOOKUP(M126,'Características dos Cabos MX'!$C$15:$L$20,3),"")))))))</f>
        <v/>
      </c>
      <c r="W126" s="248" t="str">
        <f t="shared" si="34"/>
        <v/>
      </c>
      <c r="X126" s="248" t="str">
        <f t="shared" si="35"/>
        <v/>
      </c>
      <c r="Y126" s="249" t="str">
        <f t="shared" si="36"/>
        <v/>
      </c>
      <c r="Z126" s="121" t="str">
        <f>IF(O126="","",O126+VLOOKUP(C126,$D$20:$P$44,13,FALSE))</f>
        <v/>
      </c>
      <c r="AA126" s="298">
        <f t="shared" si="32"/>
        <v>0</v>
      </c>
      <c r="AB126" s="298">
        <f t="shared" ref="AB126:AB135" si="38">K126</f>
        <v>0</v>
      </c>
      <c r="AC126" s="284"/>
      <c r="AE126" s="299" t="str">
        <f t="shared" si="28"/>
        <v/>
      </c>
      <c r="AF126" s="334">
        <f t="shared" si="29"/>
        <v>0</v>
      </c>
    </row>
    <row r="127" spans="1:32" ht="15" customHeight="1" x14ac:dyDescent="0.25">
      <c r="A127" s="575"/>
      <c r="B127" s="564"/>
      <c r="C127" s="432"/>
      <c r="D127" s="433"/>
      <c r="E127" s="438"/>
      <c r="F127" s="216" t="str">
        <f t="shared" si="30"/>
        <v/>
      </c>
      <c r="G127" s="451"/>
      <c r="H127" s="217" t="str">
        <f>IF(AND(E127="",G127=""),"",SUM(F127:G135))</f>
        <v/>
      </c>
      <c r="I127" s="218"/>
      <c r="J127" s="259"/>
      <c r="K127" s="259"/>
      <c r="L127" s="226" t="str">
        <f>IF(J127="Duplex",VLOOKUP(M127,'Características dos Cabos MX'!$C$12:$I$14,7),(IF(J127="Triplex",VLOOKUP(M127,'Características dos Cabos MX'!$C$15:$J$20,8),(IF(J127="Quadruplex",VLOOKUP(M127,'Características dos Cabos MX'!$C$21:$K$27,9),(IF(J127="13",VLOOKUP(M127,'Características dos Cabos MX'!$C$15:$L$20,10),"")))))))</f>
        <v/>
      </c>
      <c r="M127" s="410" t="str">
        <f t="shared" si="25"/>
        <v/>
      </c>
      <c r="N127" s="444"/>
      <c r="O127" s="219" t="str">
        <f t="shared" si="31"/>
        <v/>
      </c>
      <c r="P127" s="220" t="str">
        <f t="shared" ref="P127:P135" si="39">IF(O127="","",P126+O127)</f>
        <v/>
      </c>
      <c r="Q127" s="220" t="str">
        <f t="shared" si="26"/>
        <v/>
      </c>
      <c r="R127" s="221" t="str">
        <f>IF(J127="Duplex",VLOOKUP(M127,'Características dos Cabos MX'!$C$12:$I$14,5),(IF(J127="Triplex",VLOOKUP(M127,'Características dos Cabos MX'!$C$15:$J$20,5),(IF(J127="Quadruplex",VLOOKUP(M127,'Características dos Cabos MX'!$C$21:$K$27,5),(IF(J127="13",VLOOKUP(M127,'Características dos Cabos MX'!$C$15:$L$20,5),"")))))))</f>
        <v/>
      </c>
      <c r="S127" s="221" t="str">
        <f>IF(J127="Duplex",VLOOKUP(M127,'Características dos Cabos MX'!$C$12:$I$14,6),(IF(J127="Triplex",VLOOKUP(M127,'Características dos Cabos MX'!$C$15:$J$20,6),(IF(J127="Quadruplex",VLOOKUP(M127,'Características dos Cabos MX'!$C$21:$K$27,6),(IF(J127="13",VLOOKUP(M127,'Características dos Cabos MX'!$C$15:$L$20,6),"")))))))</f>
        <v/>
      </c>
      <c r="T127" s="222" t="str">
        <f t="shared" si="33"/>
        <v/>
      </c>
      <c r="U127" s="223" t="str">
        <f>IF(J127="Duplex",VLOOKUP(M127,'Características dos Cabos MX'!$C$12:$I$14,2),(IF(J127="Triplex",VLOOKUP(M127,'Características dos Cabos MX'!$C$15:$J$20,2),(IF(J127="Quadruplex",VLOOKUP(M127,'Características dos Cabos MX'!$C$21:$K$27,2),(IF(J127="13",VLOOKUP(M127,'Características dos Cabos MX'!$C$15:$L$20,2),"")))))))</f>
        <v/>
      </c>
      <c r="V127" s="221" t="str">
        <f>IF(J127="Duplex",VLOOKUP(M127,'Características dos Cabos MX'!$C$12:$I$14,3),(IF(J127="Triplex",VLOOKUP(M127,'Características dos Cabos MX'!$C$15:$J$20,3),(IF(J127="Quadruplex",VLOOKUP(M127,'Características dos Cabos MX'!$C$21:$K$27,3),(IF(J127="13",VLOOKUP(M127,'Características dos Cabos MX'!$C$15:$L$20,3),"")))))))</f>
        <v/>
      </c>
      <c r="W127" s="224" t="str">
        <f t="shared" si="34"/>
        <v/>
      </c>
      <c r="X127" s="224" t="str">
        <f t="shared" si="35"/>
        <v/>
      </c>
      <c r="Y127" s="225" t="str">
        <f t="shared" si="36"/>
        <v/>
      </c>
      <c r="AA127" s="298">
        <f t="shared" si="32"/>
        <v>0</v>
      </c>
      <c r="AB127" s="298">
        <f t="shared" si="38"/>
        <v>0</v>
      </c>
      <c r="AC127" s="284"/>
      <c r="AE127" s="299" t="str">
        <f t="shared" si="28"/>
        <v/>
      </c>
      <c r="AF127" s="334">
        <f t="shared" si="29"/>
        <v>0</v>
      </c>
    </row>
    <row r="128" spans="1:32" ht="15" customHeight="1" x14ac:dyDescent="0.25">
      <c r="A128" s="575"/>
      <c r="B128" s="564"/>
      <c r="C128" s="432"/>
      <c r="D128" s="433"/>
      <c r="E128" s="438"/>
      <c r="F128" s="216" t="str">
        <f t="shared" si="30"/>
        <v/>
      </c>
      <c r="G128" s="451"/>
      <c r="H128" s="217" t="str">
        <f>IF(AND(E128="",G128=""),"",SUM(F128:G135))</f>
        <v/>
      </c>
      <c r="I128" s="218"/>
      <c r="J128" s="259"/>
      <c r="K128" s="259"/>
      <c r="L128" s="226" t="str">
        <f>IF(J128="Duplex",VLOOKUP(M128,'Características dos Cabos MX'!$C$12:$I$14,7),(IF(J128="Triplex",VLOOKUP(M128,'Características dos Cabos MX'!$C$15:$J$20,8),(IF(J128="Quadruplex",VLOOKUP(M128,'Características dos Cabos MX'!$C$21:$K$27,9),(IF(J128="13",VLOOKUP(M128,'Características dos Cabos MX'!$C$15:$L$20,10),"")))))))</f>
        <v/>
      </c>
      <c r="M128" s="410" t="str">
        <f t="shared" si="25"/>
        <v/>
      </c>
      <c r="N128" s="444"/>
      <c r="O128" s="219" t="str">
        <f t="shared" si="31"/>
        <v/>
      </c>
      <c r="P128" s="220" t="str">
        <f t="shared" si="39"/>
        <v/>
      </c>
      <c r="Q128" s="220" t="str">
        <f t="shared" si="26"/>
        <v/>
      </c>
      <c r="R128" s="221" t="str">
        <f>IF(J128="Duplex",VLOOKUP(M128,'Características dos Cabos MX'!$C$12:$I$14,5),(IF(J128="Triplex",VLOOKUP(M128,'Características dos Cabos MX'!$C$15:$J$20,5),(IF(J128="Quadruplex",VLOOKUP(M128,'Características dos Cabos MX'!$C$21:$K$27,5),(IF(J128="13",VLOOKUP(M128,'Características dos Cabos MX'!$C$15:$L$20,5),"")))))))</f>
        <v/>
      </c>
      <c r="S128" s="221" t="str">
        <f>IF(J128="Duplex",VLOOKUP(M128,'Características dos Cabos MX'!$C$12:$I$14,6),(IF(J128="Triplex",VLOOKUP(M128,'Características dos Cabos MX'!$C$15:$J$20,6),(IF(J128="Quadruplex",VLOOKUP(M128,'Características dos Cabos MX'!$C$21:$K$27,6),(IF(J128="13",VLOOKUP(M128,'Características dos Cabos MX'!$C$15:$L$20,6),"")))))))</f>
        <v/>
      </c>
      <c r="T128" s="222" t="str">
        <f t="shared" si="33"/>
        <v/>
      </c>
      <c r="U128" s="223" t="str">
        <f>IF(J128="Duplex",VLOOKUP(M128,'Características dos Cabos MX'!$C$12:$I$14,2),(IF(J128="Triplex",VLOOKUP(M128,'Características dos Cabos MX'!$C$15:$J$20,2),(IF(J128="Quadruplex",VLOOKUP(M128,'Características dos Cabos MX'!$C$21:$K$27,2),(IF(J128="13",VLOOKUP(M128,'Características dos Cabos MX'!$C$15:$L$20,2),"")))))))</f>
        <v/>
      </c>
      <c r="V128" s="221" t="str">
        <f>IF(J128="Duplex",VLOOKUP(M128,'Características dos Cabos MX'!$C$12:$I$14,3),(IF(J128="Triplex",VLOOKUP(M128,'Características dos Cabos MX'!$C$15:$J$20,3),(IF(J128="Quadruplex",VLOOKUP(M128,'Características dos Cabos MX'!$C$21:$K$27,3),(IF(J128="13",VLOOKUP(M128,'Características dos Cabos MX'!$C$15:$L$20,3),"")))))))</f>
        <v/>
      </c>
      <c r="W128" s="224" t="str">
        <f t="shared" si="34"/>
        <v/>
      </c>
      <c r="X128" s="224" t="str">
        <f t="shared" si="35"/>
        <v/>
      </c>
      <c r="Y128" s="225" t="str">
        <f t="shared" si="36"/>
        <v/>
      </c>
      <c r="AA128" s="298">
        <f t="shared" si="32"/>
        <v>0</v>
      </c>
      <c r="AB128" s="298">
        <f t="shared" si="38"/>
        <v>0</v>
      </c>
      <c r="AC128" s="284"/>
      <c r="AE128" s="299" t="str">
        <f t="shared" si="28"/>
        <v/>
      </c>
      <c r="AF128" s="334">
        <f t="shared" si="29"/>
        <v>0</v>
      </c>
    </row>
    <row r="129" spans="1:32" ht="15" customHeight="1" x14ac:dyDescent="0.25">
      <c r="A129" s="575"/>
      <c r="B129" s="564"/>
      <c r="C129" s="432"/>
      <c r="D129" s="433"/>
      <c r="E129" s="438"/>
      <c r="F129" s="216" t="str">
        <f t="shared" si="30"/>
        <v/>
      </c>
      <c r="G129" s="451"/>
      <c r="H129" s="217" t="str">
        <f>IF(AND(E129="",G129=""),"",SUM(F129:G135))</f>
        <v/>
      </c>
      <c r="I129" s="218"/>
      <c r="J129" s="259"/>
      <c r="K129" s="259"/>
      <c r="L129" s="226" t="str">
        <f>IF(J129="Duplex",VLOOKUP(M129,'Características dos Cabos MX'!$C$12:$I$14,7),(IF(J129="Triplex",VLOOKUP(M129,'Características dos Cabos MX'!$C$15:$J$20,8),(IF(J129="Quadruplex",VLOOKUP(M129,'Características dos Cabos MX'!$C$21:$K$27,9),(IF(J129="13",VLOOKUP(M129,'Características dos Cabos MX'!$C$15:$L$20,10),"")))))))</f>
        <v/>
      </c>
      <c r="M129" s="410" t="str">
        <f t="shared" si="25"/>
        <v/>
      </c>
      <c r="N129" s="444"/>
      <c r="O129" s="219" t="str">
        <f t="shared" si="31"/>
        <v/>
      </c>
      <c r="P129" s="220" t="str">
        <f t="shared" si="39"/>
        <v/>
      </c>
      <c r="Q129" s="220" t="str">
        <f t="shared" si="26"/>
        <v/>
      </c>
      <c r="R129" s="221" t="str">
        <f>IF(J129="Duplex",VLOOKUP(M129,'Características dos Cabos MX'!$C$12:$I$14,5),(IF(J129="Triplex",VLOOKUP(M129,'Características dos Cabos MX'!$C$15:$J$20,5),(IF(J129="Quadruplex",VLOOKUP(M129,'Características dos Cabos MX'!$C$21:$K$27,5),(IF(J129="13",VLOOKUP(M129,'Características dos Cabos MX'!$C$15:$L$20,5),"")))))))</f>
        <v/>
      </c>
      <c r="S129" s="221" t="str">
        <f>IF(J129="Duplex",VLOOKUP(M129,'Características dos Cabos MX'!$C$12:$I$14,6),(IF(J129="Triplex",VLOOKUP(M129,'Características dos Cabos MX'!$C$15:$J$20,6),(IF(J129="Quadruplex",VLOOKUP(M129,'Características dos Cabos MX'!$C$21:$K$27,6),(IF(J129="13",VLOOKUP(M129,'Características dos Cabos MX'!$C$15:$L$20,6),"")))))))</f>
        <v/>
      </c>
      <c r="T129" s="222" t="str">
        <f t="shared" si="33"/>
        <v/>
      </c>
      <c r="U129" s="223" t="str">
        <f>IF(J129="Duplex",VLOOKUP(M129,'Características dos Cabos MX'!$C$12:$I$14,2),(IF(J129="Triplex",VLOOKUP(M129,'Características dos Cabos MX'!$C$15:$J$20,2),(IF(J129="Quadruplex",VLOOKUP(M129,'Características dos Cabos MX'!$C$21:$K$27,2),(IF(J129="13",VLOOKUP(M129,'Características dos Cabos MX'!$C$15:$L$20,2),"")))))))</f>
        <v/>
      </c>
      <c r="V129" s="221" t="str">
        <f>IF(J129="Duplex",VLOOKUP(M129,'Características dos Cabos MX'!$C$12:$I$14,3),(IF(J129="Triplex",VLOOKUP(M129,'Características dos Cabos MX'!$C$15:$J$20,3),(IF(J129="Quadruplex",VLOOKUP(M129,'Características dos Cabos MX'!$C$21:$K$27,3),(IF(J129="13",VLOOKUP(M129,'Características dos Cabos MX'!$C$15:$L$20,3),"")))))))</f>
        <v/>
      </c>
      <c r="W129" s="224" t="str">
        <f t="shared" si="34"/>
        <v/>
      </c>
      <c r="X129" s="224" t="str">
        <f t="shared" si="35"/>
        <v/>
      </c>
      <c r="Y129" s="225" t="str">
        <f t="shared" si="36"/>
        <v/>
      </c>
      <c r="AA129" s="298">
        <f t="shared" si="32"/>
        <v>0</v>
      </c>
      <c r="AB129" s="298">
        <f t="shared" si="38"/>
        <v>0</v>
      </c>
      <c r="AC129" s="284"/>
      <c r="AE129" s="299" t="str">
        <f t="shared" si="28"/>
        <v/>
      </c>
      <c r="AF129" s="334">
        <f t="shared" si="29"/>
        <v>0</v>
      </c>
    </row>
    <row r="130" spans="1:32" ht="15" customHeight="1" x14ac:dyDescent="0.25">
      <c r="A130" s="575"/>
      <c r="B130" s="564"/>
      <c r="C130" s="432"/>
      <c r="D130" s="433"/>
      <c r="E130" s="438"/>
      <c r="F130" s="216" t="str">
        <f t="shared" si="30"/>
        <v/>
      </c>
      <c r="G130" s="451"/>
      <c r="H130" s="217" t="str">
        <f>IF(AND(E130="",G130=""),"",SUM(F130:G135))</f>
        <v/>
      </c>
      <c r="I130" s="218"/>
      <c r="J130" s="259"/>
      <c r="K130" s="259"/>
      <c r="L130" s="226" t="str">
        <f>IF(J130="Duplex",VLOOKUP(M130,'Características dos Cabos MX'!$C$12:$I$14,7),(IF(J130="Triplex",VLOOKUP(M130,'Características dos Cabos MX'!$C$15:$J$20,8),(IF(J130="Quadruplex",VLOOKUP(M130,'Características dos Cabos MX'!$C$21:$K$27,9),(IF(J130="13",VLOOKUP(M130,'Características dos Cabos MX'!$C$15:$L$20,10),"")))))))</f>
        <v/>
      </c>
      <c r="M130" s="410" t="str">
        <f t="shared" si="25"/>
        <v/>
      </c>
      <c r="N130" s="444"/>
      <c r="O130" s="219" t="str">
        <f t="shared" si="31"/>
        <v/>
      </c>
      <c r="P130" s="220" t="str">
        <f t="shared" si="39"/>
        <v/>
      </c>
      <c r="Q130" s="220" t="str">
        <f t="shared" si="26"/>
        <v/>
      </c>
      <c r="R130" s="221" t="str">
        <f>IF(J130="Duplex",VLOOKUP(M130,'Características dos Cabos MX'!$C$12:$I$14,5),(IF(J130="Triplex",VLOOKUP(M130,'Características dos Cabos MX'!$C$15:$J$20,5),(IF(J130="Quadruplex",VLOOKUP(M130,'Características dos Cabos MX'!$C$21:$K$27,5),(IF(J130="13",VLOOKUP(M130,'Características dos Cabos MX'!$C$15:$L$20,5),"")))))))</f>
        <v/>
      </c>
      <c r="S130" s="221" t="str">
        <f>IF(J130="Duplex",VLOOKUP(M130,'Características dos Cabos MX'!$C$12:$I$14,6),(IF(J130="Triplex",VLOOKUP(M130,'Características dos Cabos MX'!$C$15:$J$20,6),(IF(J130="Quadruplex",VLOOKUP(M130,'Características dos Cabos MX'!$C$21:$K$27,6),(IF(J130="13",VLOOKUP(M130,'Características dos Cabos MX'!$C$15:$L$20,6),"")))))))</f>
        <v/>
      </c>
      <c r="T130" s="222" t="str">
        <f t="shared" si="33"/>
        <v/>
      </c>
      <c r="U130" s="223" t="str">
        <f>IF(J130="Duplex",VLOOKUP(M130,'Características dos Cabos MX'!$C$12:$I$14,2),(IF(J130="Triplex",VLOOKUP(M130,'Características dos Cabos MX'!$C$15:$J$20,2),(IF(J130="Quadruplex",VLOOKUP(M130,'Características dos Cabos MX'!$C$21:$K$27,2),(IF(J130="13",VLOOKUP(M130,'Características dos Cabos MX'!$C$15:$L$20,2),"")))))))</f>
        <v/>
      </c>
      <c r="V130" s="221" t="str">
        <f>IF(J130="Duplex",VLOOKUP(M130,'Características dos Cabos MX'!$C$12:$I$14,3),(IF(J130="Triplex",VLOOKUP(M130,'Características dos Cabos MX'!$C$15:$J$20,3),(IF(J130="Quadruplex",VLOOKUP(M130,'Características dos Cabos MX'!$C$21:$K$27,3),(IF(J130="13",VLOOKUP(M130,'Características dos Cabos MX'!$C$15:$L$20,3),"")))))))</f>
        <v/>
      </c>
      <c r="W130" s="224" t="str">
        <f t="shared" si="34"/>
        <v/>
      </c>
      <c r="X130" s="224" t="str">
        <f t="shared" si="35"/>
        <v/>
      </c>
      <c r="Y130" s="225" t="str">
        <f t="shared" si="36"/>
        <v/>
      </c>
      <c r="AA130" s="298">
        <f t="shared" si="32"/>
        <v>0</v>
      </c>
      <c r="AB130" s="298">
        <f t="shared" si="38"/>
        <v>0</v>
      </c>
      <c r="AC130" s="284"/>
      <c r="AE130" s="299" t="str">
        <f t="shared" si="28"/>
        <v/>
      </c>
      <c r="AF130" s="334">
        <f t="shared" si="29"/>
        <v>0</v>
      </c>
    </row>
    <row r="131" spans="1:32" ht="15" customHeight="1" x14ac:dyDescent="0.25">
      <c r="A131" s="575"/>
      <c r="B131" s="564"/>
      <c r="C131" s="432"/>
      <c r="D131" s="433"/>
      <c r="E131" s="438"/>
      <c r="F131" s="216" t="str">
        <f t="shared" si="30"/>
        <v/>
      </c>
      <c r="G131" s="451"/>
      <c r="H131" s="217" t="str">
        <f>IF(AND(E131="",G131=""),"",SUM(F131:G135))</f>
        <v/>
      </c>
      <c r="I131" s="218"/>
      <c r="J131" s="259"/>
      <c r="K131" s="259"/>
      <c r="L131" s="226" t="str">
        <f>IF(J131="Duplex",VLOOKUP(M131,'Características dos Cabos MX'!$C$12:$I$14,7),(IF(J131="Triplex",VLOOKUP(M131,'Características dos Cabos MX'!$C$15:$J$20,8),(IF(J131="Quadruplex",VLOOKUP(M131,'Características dos Cabos MX'!$C$21:$K$27,9),(IF(J131="13",VLOOKUP(M131,'Características dos Cabos MX'!$C$15:$L$20,10),"")))))))</f>
        <v/>
      </c>
      <c r="M131" s="410" t="str">
        <f t="shared" si="25"/>
        <v/>
      </c>
      <c r="N131" s="444"/>
      <c r="O131" s="219" t="str">
        <f t="shared" si="31"/>
        <v/>
      </c>
      <c r="P131" s="220" t="str">
        <f t="shared" si="39"/>
        <v/>
      </c>
      <c r="Q131" s="220" t="str">
        <f t="shared" si="26"/>
        <v/>
      </c>
      <c r="R131" s="221" t="str">
        <f>IF(J131="Duplex",VLOOKUP(M131,'Características dos Cabos MX'!$C$12:$I$14,5),(IF(J131="Triplex",VLOOKUP(M131,'Características dos Cabos MX'!$C$15:$J$20,5),(IF(J131="Quadruplex",VLOOKUP(M131,'Características dos Cabos MX'!$C$21:$K$27,5),(IF(J131="13",VLOOKUP(M131,'Características dos Cabos MX'!$C$15:$L$20,5),"")))))))</f>
        <v/>
      </c>
      <c r="S131" s="221" t="str">
        <f>IF(J131="Duplex",VLOOKUP(M131,'Características dos Cabos MX'!$C$12:$I$14,6),(IF(J131="Triplex",VLOOKUP(M131,'Características dos Cabos MX'!$C$15:$J$20,6),(IF(J131="Quadruplex",VLOOKUP(M131,'Características dos Cabos MX'!$C$21:$K$27,6),(IF(J131="13",VLOOKUP(M131,'Características dos Cabos MX'!$C$15:$L$20,6),"")))))))</f>
        <v/>
      </c>
      <c r="T131" s="222" t="str">
        <f t="shared" si="33"/>
        <v/>
      </c>
      <c r="U131" s="223" t="str">
        <f>IF(J131="Duplex",VLOOKUP(M131,'Características dos Cabos MX'!$C$12:$I$14,2),(IF(J131="Triplex",VLOOKUP(M131,'Características dos Cabos MX'!$C$15:$J$20,2),(IF(J131="Quadruplex",VLOOKUP(M131,'Características dos Cabos MX'!$C$21:$K$27,2),(IF(J131="13",VLOOKUP(M131,'Características dos Cabos MX'!$C$15:$L$20,2),"")))))))</f>
        <v/>
      </c>
      <c r="V131" s="221" t="str">
        <f>IF(J131="Duplex",VLOOKUP(M131,'Características dos Cabos MX'!$C$12:$I$14,3),(IF(J131="Triplex",VLOOKUP(M131,'Características dos Cabos MX'!$C$15:$J$20,3),(IF(J131="Quadruplex",VLOOKUP(M131,'Características dos Cabos MX'!$C$21:$K$27,3),(IF(J131="13",VLOOKUP(M131,'Características dos Cabos MX'!$C$15:$L$20,3),"")))))))</f>
        <v/>
      </c>
      <c r="W131" s="224" t="str">
        <f t="shared" si="34"/>
        <v/>
      </c>
      <c r="X131" s="224" t="str">
        <f t="shared" si="35"/>
        <v/>
      </c>
      <c r="Y131" s="225" t="str">
        <f t="shared" si="36"/>
        <v/>
      </c>
      <c r="AA131" s="298">
        <f t="shared" si="32"/>
        <v>0</v>
      </c>
      <c r="AB131" s="298">
        <f t="shared" si="38"/>
        <v>0</v>
      </c>
      <c r="AC131" s="284"/>
      <c r="AE131" s="299" t="str">
        <f t="shared" si="28"/>
        <v/>
      </c>
      <c r="AF131" s="334">
        <f t="shared" si="29"/>
        <v>0</v>
      </c>
    </row>
    <row r="132" spans="1:32" ht="15" customHeight="1" x14ac:dyDescent="0.25">
      <c r="A132" s="575"/>
      <c r="B132" s="564"/>
      <c r="C132" s="432"/>
      <c r="D132" s="433"/>
      <c r="E132" s="438"/>
      <c r="F132" s="216" t="str">
        <f t="shared" si="30"/>
        <v/>
      </c>
      <c r="G132" s="451"/>
      <c r="H132" s="217" t="str">
        <f>IF(AND(E132="",G132=""),"",SUM(F132:G135))</f>
        <v/>
      </c>
      <c r="I132" s="218"/>
      <c r="J132" s="259"/>
      <c r="K132" s="259"/>
      <c r="L132" s="226" t="str">
        <f>IF(J132="Duplex",VLOOKUP(M132,'Características dos Cabos MX'!$C$12:$I$14,7),(IF(J132="Triplex",VLOOKUP(M132,'Características dos Cabos MX'!$C$15:$J$20,8),(IF(J132="Quadruplex",VLOOKUP(M132,'Características dos Cabos MX'!$C$21:$K$27,9),(IF(J132="13",VLOOKUP(M132,'Características dos Cabos MX'!$C$15:$L$20,10),"")))))))</f>
        <v/>
      </c>
      <c r="M132" s="410" t="str">
        <f t="shared" si="25"/>
        <v/>
      </c>
      <c r="N132" s="444"/>
      <c r="O132" s="219" t="str">
        <f t="shared" si="31"/>
        <v/>
      </c>
      <c r="P132" s="220" t="str">
        <f t="shared" si="39"/>
        <v/>
      </c>
      <c r="Q132" s="220" t="str">
        <f t="shared" si="26"/>
        <v/>
      </c>
      <c r="R132" s="221" t="str">
        <f>IF(J132="Duplex",VLOOKUP(M132,'Características dos Cabos MX'!$C$12:$I$14,5),(IF(J132="Triplex",VLOOKUP(M132,'Características dos Cabos MX'!$C$15:$J$20,5),(IF(J132="Quadruplex",VLOOKUP(M132,'Características dos Cabos MX'!$C$21:$K$27,5),(IF(J132="13",VLOOKUP(M132,'Características dos Cabos MX'!$C$15:$L$20,5),"")))))))</f>
        <v/>
      </c>
      <c r="S132" s="221" t="str">
        <f>IF(J132="Duplex",VLOOKUP(M132,'Características dos Cabos MX'!$C$12:$I$14,6),(IF(J132="Triplex",VLOOKUP(M132,'Características dos Cabos MX'!$C$15:$J$20,6),(IF(J132="Quadruplex",VLOOKUP(M132,'Características dos Cabos MX'!$C$21:$K$27,6),(IF(J132="13",VLOOKUP(M132,'Características dos Cabos MX'!$C$15:$L$20,6),"")))))))</f>
        <v/>
      </c>
      <c r="T132" s="222" t="str">
        <f t="shared" si="33"/>
        <v/>
      </c>
      <c r="U132" s="223" t="str">
        <f>IF(J132="Duplex",VLOOKUP(M132,'Características dos Cabos MX'!$C$12:$I$14,2),(IF(J132="Triplex",VLOOKUP(M132,'Características dos Cabos MX'!$C$15:$J$20,2),(IF(J132="Quadruplex",VLOOKUP(M132,'Características dos Cabos MX'!$C$21:$K$27,2),(IF(J132="13",VLOOKUP(M132,'Características dos Cabos MX'!$C$15:$L$20,2),"")))))))</f>
        <v/>
      </c>
      <c r="V132" s="221" t="str">
        <f>IF(J132="Duplex",VLOOKUP(M132,'Características dos Cabos MX'!$C$12:$I$14,3),(IF(J132="Triplex",VLOOKUP(M132,'Características dos Cabos MX'!$C$15:$J$20,3),(IF(J132="Quadruplex",VLOOKUP(M132,'Características dos Cabos MX'!$C$21:$K$27,3),(IF(J132="13",VLOOKUP(M132,'Características dos Cabos MX'!$C$15:$L$20,3),"")))))))</f>
        <v/>
      </c>
      <c r="W132" s="224" t="str">
        <f t="shared" si="34"/>
        <v/>
      </c>
      <c r="X132" s="224" t="str">
        <f t="shared" si="35"/>
        <v/>
      </c>
      <c r="Y132" s="225" t="str">
        <f t="shared" si="36"/>
        <v/>
      </c>
      <c r="AA132" s="298">
        <f t="shared" si="32"/>
        <v>0</v>
      </c>
      <c r="AB132" s="298">
        <f t="shared" si="38"/>
        <v>0</v>
      </c>
      <c r="AC132" s="284"/>
      <c r="AE132" s="299" t="str">
        <f t="shared" si="28"/>
        <v/>
      </c>
      <c r="AF132" s="334">
        <f t="shared" si="29"/>
        <v>0</v>
      </c>
    </row>
    <row r="133" spans="1:32" ht="15" customHeight="1" x14ac:dyDescent="0.25">
      <c r="A133" s="575"/>
      <c r="B133" s="564"/>
      <c r="C133" s="432"/>
      <c r="D133" s="433"/>
      <c r="E133" s="438"/>
      <c r="F133" s="216" t="str">
        <f t="shared" si="30"/>
        <v/>
      </c>
      <c r="G133" s="451"/>
      <c r="H133" s="217" t="str">
        <f>IF(AND(E133="",G133=""),"",SUM(F133:G135))</f>
        <v/>
      </c>
      <c r="I133" s="218"/>
      <c r="J133" s="259"/>
      <c r="K133" s="259"/>
      <c r="L133" s="226" t="str">
        <f>IF(J133="Duplex",VLOOKUP(M133,'Características dos Cabos MX'!$C$12:$I$14,7),(IF(J133="Triplex",VLOOKUP(M133,'Características dos Cabos MX'!$C$15:$J$20,8),(IF(J133="Quadruplex",VLOOKUP(M133,'Características dos Cabos MX'!$C$21:$K$27,9),(IF(J133="13",VLOOKUP(M133,'Características dos Cabos MX'!$C$15:$L$20,10),"")))))))</f>
        <v/>
      </c>
      <c r="M133" s="410" t="str">
        <f t="shared" si="25"/>
        <v/>
      </c>
      <c r="N133" s="444"/>
      <c r="O133" s="219" t="str">
        <f t="shared" si="31"/>
        <v/>
      </c>
      <c r="P133" s="220" t="str">
        <f t="shared" si="39"/>
        <v/>
      </c>
      <c r="Q133" s="220" t="str">
        <f t="shared" si="26"/>
        <v/>
      </c>
      <c r="R133" s="221" t="str">
        <f>IF(J133="Duplex",VLOOKUP(M133,'Características dos Cabos MX'!$C$12:$I$14,5),(IF(J133="Triplex",VLOOKUP(M133,'Características dos Cabos MX'!$C$15:$J$20,5),(IF(J133="Quadruplex",VLOOKUP(M133,'Características dos Cabos MX'!$C$21:$K$27,5),(IF(J133="13",VLOOKUP(M133,'Características dos Cabos MX'!$C$15:$L$20,5),"")))))))</f>
        <v/>
      </c>
      <c r="S133" s="221" t="str">
        <f>IF(J133="Duplex",VLOOKUP(M133,'Características dos Cabos MX'!$C$12:$I$14,6),(IF(J133="Triplex",VLOOKUP(M133,'Características dos Cabos MX'!$C$15:$J$20,6),(IF(J133="Quadruplex",VLOOKUP(M133,'Características dos Cabos MX'!$C$21:$K$27,6),(IF(J133="13",VLOOKUP(M133,'Características dos Cabos MX'!$C$15:$L$20,6),"")))))))</f>
        <v/>
      </c>
      <c r="T133" s="222" t="str">
        <f t="shared" si="33"/>
        <v/>
      </c>
      <c r="U133" s="223" t="str">
        <f>IF(J133="Duplex",VLOOKUP(M133,'Características dos Cabos MX'!$C$12:$I$14,2),(IF(J133="Triplex",VLOOKUP(M133,'Características dos Cabos MX'!$C$15:$J$20,2),(IF(J133="Quadruplex",VLOOKUP(M133,'Características dos Cabos MX'!$C$21:$K$27,2),(IF(J133="13",VLOOKUP(M133,'Características dos Cabos MX'!$C$15:$L$20,2),"")))))))</f>
        <v/>
      </c>
      <c r="V133" s="221" t="str">
        <f>IF(J133="Duplex",VLOOKUP(M133,'Características dos Cabos MX'!$C$12:$I$14,3),(IF(J133="Triplex",VLOOKUP(M133,'Características dos Cabos MX'!$C$15:$J$20,3),(IF(J133="Quadruplex",VLOOKUP(M133,'Características dos Cabos MX'!$C$21:$K$27,3),(IF(J133="13",VLOOKUP(M133,'Características dos Cabos MX'!$C$15:$L$20,3),"")))))))</f>
        <v/>
      </c>
      <c r="W133" s="224" t="str">
        <f t="shared" si="34"/>
        <v/>
      </c>
      <c r="X133" s="224" t="str">
        <f t="shared" si="35"/>
        <v/>
      </c>
      <c r="Y133" s="225" t="str">
        <f t="shared" si="36"/>
        <v/>
      </c>
      <c r="AA133" s="298">
        <f t="shared" si="32"/>
        <v>0</v>
      </c>
      <c r="AB133" s="298">
        <f t="shared" si="38"/>
        <v>0</v>
      </c>
      <c r="AC133" s="284"/>
      <c r="AE133" s="299" t="str">
        <f t="shared" si="28"/>
        <v/>
      </c>
      <c r="AF133" s="334">
        <f t="shared" si="29"/>
        <v>0</v>
      </c>
    </row>
    <row r="134" spans="1:32" ht="15" customHeight="1" x14ac:dyDescent="0.25">
      <c r="A134" s="575"/>
      <c r="B134" s="564"/>
      <c r="C134" s="432"/>
      <c r="D134" s="433"/>
      <c r="E134" s="438"/>
      <c r="F134" s="216" t="str">
        <f t="shared" si="30"/>
        <v/>
      </c>
      <c r="G134" s="451"/>
      <c r="H134" s="217" t="str">
        <f>IF(AND(E134="",G134=""),"",SUM(F134:G135))</f>
        <v/>
      </c>
      <c r="I134" s="218"/>
      <c r="J134" s="259"/>
      <c r="K134" s="259"/>
      <c r="L134" s="226" t="str">
        <f>IF(J134="Duplex",VLOOKUP(M134,'Características dos Cabos MX'!$C$12:$I$14,7),(IF(J134="Triplex",VLOOKUP(M134,'Características dos Cabos MX'!$C$15:$J$20,8),(IF(J134="Quadruplex",VLOOKUP(M134,'Características dos Cabos MX'!$C$21:$K$27,9),(IF(J134="13",VLOOKUP(M134,'Características dos Cabos MX'!$C$15:$L$20,10),"")))))))</f>
        <v/>
      </c>
      <c r="M134" s="410" t="str">
        <f t="shared" si="25"/>
        <v/>
      </c>
      <c r="N134" s="444"/>
      <c r="O134" s="219" t="str">
        <f t="shared" si="31"/>
        <v/>
      </c>
      <c r="P134" s="220" t="str">
        <f t="shared" si="39"/>
        <v/>
      </c>
      <c r="Q134" s="220" t="str">
        <f t="shared" si="26"/>
        <v/>
      </c>
      <c r="R134" s="221" t="str">
        <f>IF(J134="Duplex",VLOOKUP(M134,'Características dos Cabos MX'!$C$12:$I$14,5),(IF(J134="Triplex",VLOOKUP(M134,'Características dos Cabos MX'!$C$15:$J$20,5),(IF(J134="Quadruplex",VLOOKUP(M134,'Características dos Cabos MX'!$C$21:$K$27,5),(IF(J134="13",VLOOKUP(M134,'Características dos Cabos MX'!$C$15:$L$20,5),"")))))))</f>
        <v/>
      </c>
      <c r="S134" s="221" t="str">
        <f>IF(J134="Duplex",VLOOKUP(M134,'Características dos Cabos MX'!$C$12:$I$14,6),(IF(J134="Triplex",VLOOKUP(M134,'Características dos Cabos MX'!$C$15:$J$20,6),(IF(J134="Quadruplex",VLOOKUP(M134,'Características dos Cabos MX'!$C$21:$K$27,6),(IF(J134="13",VLOOKUP(M134,'Características dos Cabos MX'!$C$15:$L$20,6),"")))))))</f>
        <v/>
      </c>
      <c r="T134" s="222" t="str">
        <f t="shared" si="33"/>
        <v/>
      </c>
      <c r="U134" s="223" t="str">
        <f>IF(J134="Duplex",VLOOKUP(M134,'Características dos Cabos MX'!$C$12:$I$14,2),(IF(J134="Triplex",VLOOKUP(M134,'Características dos Cabos MX'!$C$15:$J$20,2),(IF(J134="Quadruplex",VLOOKUP(M134,'Características dos Cabos MX'!$C$21:$K$27,2),(IF(J134="13",VLOOKUP(M134,'Características dos Cabos MX'!$C$15:$L$20,2),"")))))))</f>
        <v/>
      </c>
      <c r="V134" s="221" t="str">
        <f>IF(J134="Duplex",VLOOKUP(M134,'Características dos Cabos MX'!$C$12:$I$14,3),(IF(J134="Triplex",VLOOKUP(M134,'Características dos Cabos MX'!$C$15:$J$20,3),(IF(J134="Quadruplex",VLOOKUP(M134,'Características dos Cabos MX'!$C$21:$K$27,3),(IF(J134="13",VLOOKUP(M134,'Características dos Cabos MX'!$C$15:$L$20,3),"")))))))</f>
        <v/>
      </c>
      <c r="W134" s="224" t="str">
        <f t="shared" si="34"/>
        <v/>
      </c>
      <c r="X134" s="224" t="str">
        <f t="shared" si="35"/>
        <v/>
      </c>
      <c r="Y134" s="225" t="str">
        <f t="shared" si="36"/>
        <v/>
      </c>
      <c r="AA134" s="298">
        <f t="shared" si="32"/>
        <v>0</v>
      </c>
      <c r="AB134" s="298">
        <f t="shared" si="38"/>
        <v>0</v>
      </c>
      <c r="AC134" s="284"/>
      <c r="AE134" s="299" t="str">
        <f t="shared" si="28"/>
        <v/>
      </c>
      <c r="AF134" s="334">
        <f t="shared" si="29"/>
        <v>0</v>
      </c>
    </row>
    <row r="135" spans="1:32" ht="15" customHeight="1" thickBot="1" x14ac:dyDescent="0.3">
      <c r="A135" s="575"/>
      <c r="B135" s="565"/>
      <c r="C135" s="434"/>
      <c r="D135" s="435"/>
      <c r="E135" s="434"/>
      <c r="F135" s="228" t="str">
        <f t="shared" si="30"/>
        <v/>
      </c>
      <c r="G135" s="452"/>
      <c r="H135" s="229" t="str">
        <f>IF(AND(E135="",G135=""),"",SUM(F135:G135))</f>
        <v/>
      </c>
      <c r="I135" s="230"/>
      <c r="J135" s="260"/>
      <c r="K135" s="260"/>
      <c r="L135" s="231" t="str">
        <f>IF(J135="Duplex",VLOOKUP(M135,'Características dos Cabos MX'!$C$12:$I$14,7),(IF(J135="Triplex",VLOOKUP(M135,'Características dos Cabos MX'!$C$15:$J$20,8),(IF(J135="Quadruplex",VLOOKUP(M135,'Características dos Cabos MX'!$C$21:$K$27,9),(IF(J135="13",VLOOKUP(M135,'Características dos Cabos MX'!$C$15:$L$20,10),"")))))))</f>
        <v/>
      </c>
      <c r="M135" s="412" t="str">
        <f t="shared" si="25"/>
        <v/>
      </c>
      <c r="N135" s="445"/>
      <c r="O135" s="232" t="str">
        <f t="shared" si="31"/>
        <v/>
      </c>
      <c r="P135" s="233" t="str">
        <f t="shared" si="39"/>
        <v/>
      </c>
      <c r="Q135" s="233" t="str">
        <f t="shared" si="26"/>
        <v/>
      </c>
      <c r="R135" s="234" t="str">
        <f>IF(J135="Duplex",VLOOKUP(M135,'Características dos Cabos MX'!$C$12:$I$14,5),(IF(J135="Triplex",VLOOKUP(M135,'Características dos Cabos MX'!$C$15:$J$20,5),(IF(J135="Quadruplex",VLOOKUP(M135,'Características dos Cabos MX'!$C$21:$K$27,5),(IF(J135="13",VLOOKUP(M135,'Características dos Cabos MX'!$C$15:$L$20,5),"")))))))</f>
        <v/>
      </c>
      <c r="S135" s="234" t="str">
        <f>IF(J135="Duplex",VLOOKUP(M135,'Características dos Cabos MX'!$C$12:$I$14,6),(IF(J135="Triplex",VLOOKUP(M135,'Características dos Cabos MX'!$C$15:$J$20,6),(IF(J135="Quadruplex",VLOOKUP(M135,'Características dos Cabos MX'!$C$21:$K$27,6),(IF(J135="13",VLOOKUP(M135,'Características dos Cabos MX'!$C$15:$L$20,6),"")))))))</f>
        <v/>
      </c>
      <c r="T135" s="235" t="str">
        <f t="shared" si="33"/>
        <v/>
      </c>
      <c r="U135" s="236" t="str">
        <f>IF(J135="Duplex",VLOOKUP(M135,'Características dos Cabos MX'!$C$12:$I$14,2),(IF(J135="Triplex",VLOOKUP(M135,'Características dos Cabos MX'!$C$15:$J$20,2),(IF(J135="Quadruplex",VLOOKUP(M135,'Características dos Cabos MX'!$C$21:$K$27,2),(IF(J135="13",VLOOKUP(M135,'Características dos Cabos MX'!$C$15:$L$20,2),"")))))))</f>
        <v/>
      </c>
      <c r="V135" s="234" t="str">
        <f>IF(J135="Duplex",VLOOKUP(M135,'Características dos Cabos MX'!$C$12:$I$14,3),(IF(J135="Triplex",VLOOKUP(M135,'Características dos Cabos MX'!$C$15:$J$20,3),(IF(J135="Quadruplex",VLOOKUP(M135,'Características dos Cabos MX'!$C$21:$K$27,3),(IF(J135="13",VLOOKUP(M135,'Características dos Cabos MX'!$C$15:$L$20,3),"")))))))</f>
        <v/>
      </c>
      <c r="W135" s="237" t="str">
        <f t="shared" si="34"/>
        <v/>
      </c>
      <c r="X135" s="237" t="str">
        <f t="shared" si="35"/>
        <v/>
      </c>
      <c r="Y135" s="238" t="str">
        <f t="shared" si="36"/>
        <v/>
      </c>
      <c r="AA135" s="298">
        <f t="shared" si="32"/>
        <v>0</v>
      </c>
      <c r="AB135" s="298">
        <f t="shared" si="38"/>
        <v>0</v>
      </c>
      <c r="AC135" s="284"/>
      <c r="AE135" s="299" t="str">
        <f t="shared" si="28"/>
        <v/>
      </c>
      <c r="AF135" s="334">
        <f t="shared" si="29"/>
        <v>0</v>
      </c>
    </row>
    <row r="136" spans="1:32" ht="15" customHeight="1" thickTop="1" x14ac:dyDescent="0.25">
      <c r="A136" s="575"/>
      <c r="B136" s="563" t="str">
        <f>CONCATENATE("Ramal 10 - Derivando no ponto ",C136)</f>
        <v xml:space="preserve">Ramal 10 - Derivando no ponto </v>
      </c>
      <c r="C136" s="431"/>
      <c r="D136" s="436"/>
      <c r="E136" s="440"/>
      <c r="F136" s="239" t="str">
        <f t="shared" si="30"/>
        <v/>
      </c>
      <c r="G136" s="453"/>
      <c r="H136" s="240" t="str">
        <f>IF(AND(E136="",G136=""),"",SUM(F136:G145))</f>
        <v/>
      </c>
      <c r="I136" s="241"/>
      <c r="J136" s="262"/>
      <c r="K136" s="262"/>
      <c r="L136" s="242" t="str">
        <f>IF(J136="Duplex",VLOOKUP(M136,'Características dos Cabos MX'!$C$12:$I$14,7),(IF(J136="Triplex",VLOOKUP(M136,'Características dos Cabos MX'!$C$15:$J$20,8),(IF(J136="Quadruplex",VLOOKUP(M136,'Características dos Cabos MX'!$C$21:$K$27,9),(IF(J136="13",VLOOKUP(M136,'Características dos Cabos MX'!$C$15:$L$20,10),"")))))))</f>
        <v/>
      </c>
      <c r="M136" s="413" t="str">
        <f t="shared" si="25"/>
        <v/>
      </c>
      <c r="N136" s="446"/>
      <c r="O136" s="243" t="str">
        <f t="shared" si="31"/>
        <v/>
      </c>
      <c r="P136" s="244" t="str">
        <f>IF(O136="","",O136+VLOOKUP(C136,$D$20:$Q$136,13,FALSE))</f>
        <v/>
      </c>
      <c r="Q136" s="244" t="str">
        <f t="shared" si="26"/>
        <v/>
      </c>
      <c r="R136" s="245" t="str">
        <f>IF(J136="Duplex",VLOOKUP(M136,'Características dos Cabos MX'!$C$12:$I$14,5),(IF(J136="Triplex",VLOOKUP(M136,'Características dos Cabos MX'!$C$15:$J$20,5),(IF(J136="Quadruplex",VLOOKUP(M136,'Características dos Cabos MX'!$C$21:$K$27,5),(IF(J136="13",VLOOKUP(M136,'Características dos Cabos MX'!$C$15:$L$20,5),"")))))))</f>
        <v/>
      </c>
      <c r="S136" s="245" t="str">
        <f>IF(J136="Duplex",VLOOKUP(M136,'Características dos Cabos MX'!$C$12:$I$14,6),(IF(J136="Triplex",VLOOKUP(M136,'Características dos Cabos MX'!$C$15:$J$20,6),(IF(J136="Quadruplex",VLOOKUP(M136,'Características dos Cabos MX'!$C$21:$K$27,6),(IF(J136="13",VLOOKUP(M136,'Características dos Cabos MX'!$C$15:$L$20,6),"")))))))</f>
        <v/>
      </c>
      <c r="T136" s="246" t="str">
        <f t="shared" si="33"/>
        <v/>
      </c>
      <c r="U136" s="247" t="str">
        <f>IF(J136="Duplex",VLOOKUP(M136,'Características dos Cabos MX'!$C$12:$I$14,2),(IF(J136="Triplex",VLOOKUP(M136,'Características dos Cabos MX'!$C$15:$J$20,2),(IF(J136="Quadruplex",VLOOKUP(M136,'Características dos Cabos MX'!$C$21:$K$27,2),(IF(J136="13",VLOOKUP(M136,'Características dos Cabos MX'!$C$15:$L$20,2),"")))))))</f>
        <v/>
      </c>
      <c r="V136" s="245" t="str">
        <f>IF(J136="Duplex",VLOOKUP(M136,'Características dos Cabos MX'!$C$12:$I$14,3),(IF(J136="Triplex",VLOOKUP(M136,'Características dos Cabos MX'!$C$15:$J$20,3),(IF(J136="Quadruplex",VLOOKUP(M136,'Características dos Cabos MX'!$C$21:$K$27,3),(IF(J136="13",VLOOKUP(M136,'Características dos Cabos MX'!$C$15:$L$20,3),"")))))))</f>
        <v/>
      </c>
      <c r="W136" s="248" t="str">
        <f t="shared" si="34"/>
        <v/>
      </c>
      <c r="X136" s="248" t="str">
        <f t="shared" si="35"/>
        <v/>
      </c>
      <c r="Y136" s="249" t="str">
        <f t="shared" si="36"/>
        <v/>
      </c>
      <c r="Z136" s="121" t="str">
        <f>IF(O136="","",O136+VLOOKUP(C136,$D$20:$P$44,13,FALSE))</f>
        <v/>
      </c>
      <c r="AA136" s="298">
        <f t="shared" si="32"/>
        <v>0</v>
      </c>
      <c r="AB136" s="298">
        <f t="shared" ref="AB136:AB145" si="40">K136</f>
        <v>0</v>
      </c>
      <c r="AC136" s="284"/>
      <c r="AE136" s="299" t="str">
        <f t="shared" si="28"/>
        <v/>
      </c>
      <c r="AF136" s="334">
        <f t="shared" si="29"/>
        <v>0</v>
      </c>
    </row>
    <row r="137" spans="1:32" ht="15" customHeight="1" x14ac:dyDescent="0.25">
      <c r="A137" s="575"/>
      <c r="B137" s="564"/>
      <c r="C137" s="432"/>
      <c r="D137" s="433"/>
      <c r="E137" s="438"/>
      <c r="F137" s="216" t="str">
        <f t="shared" si="30"/>
        <v/>
      </c>
      <c r="G137" s="451"/>
      <c r="H137" s="217" t="str">
        <f>IF(AND(E137="",G137=""),"",SUM(F137:G145))</f>
        <v/>
      </c>
      <c r="I137" s="218"/>
      <c r="J137" s="259"/>
      <c r="K137" s="259"/>
      <c r="L137" s="226" t="str">
        <f>IF(J137="Duplex",VLOOKUP(M137,'Características dos Cabos MX'!$C$12:$I$14,7),(IF(J137="Triplex",VLOOKUP(M137,'Características dos Cabos MX'!$C$15:$J$20,8),(IF(J137="Quadruplex",VLOOKUP(M137,'Características dos Cabos MX'!$C$21:$K$27,9),(IF(J137="13",VLOOKUP(M137,'Características dos Cabos MX'!$C$15:$L$20,10),"")))))))</f>
        <v/>
      </c>
      <c r="M137" s="410" t="str">
        <f t="shared" si="25"/>
        <v/>
      </c>
      <c r="N137" s="444"/>
      <c r="O137" s="219" t="str">
        <f t="shared" si="31"/>
        <v/>
      </c>
      <c r="P137" s="220" t="str">
        <f t="shared" ref="P137:P145" si="41">IF(O137="","",P136+O137)</f>
        <v/>
      </c>
      <c r="Q137" s="220" t="str">
        <f t="shared" si="26"/>
        <v/>
      </c>
      <c r="R137" s="221" t="str">
        <f>IF(J137="Duplex",VLOOKUP(M137,'Características dos Cabos MX'!$C$12:$I$14,5),(IF(J137="Triplex",VLOOKUP(M137,'Características dos Cabos MX'!$C$15:$J$20,5),(IF(J137="Quadruplex",VLOOKUP(M137,'Características dos Cabos MX'!$C$21:$K$27,5),(IF(J137="13",VLOOKUP(M137,'Características dos Cabos MX'!$C$15:$L$20,5),"")))))))</f>
        <v/>
      </c>
      <c r="S137" s="221" t="str">
        <f>IF(J137="Duplex",VLOOKUP(M137,'Características dos Cabos MX'!$C$12:$I$14,6),(IF(J137="Triplex",VLOOKUP(M137,'Características dos Cabos MX'!$C$15:$J$20,6),(IF(J137="Quadruplex",VLOOKUP(M137,'Características dos Cabos MX'!$C$21:$K$27,6),(IF(J137="13",VLOOKUP(M137,'Características dos Cabos MX'!$C$15:$L$20,6),"")))))))</f>
        <v/>
      </c>
      <c r="T137" s="222" t="str">
        <f t="shared" si="33"/>
        <v/>
      </c>
      <c r="U137" s="223" t="str">
        <f>IF(J137="Duplex",VLOOKUP(M137,'Características dos Cabos MX'!$C$12:$I$14,2),(IF(J137="Triplex",VLOOKUP(M137,'Características dos Cabos MX'!$C$15:$J$20,2),(IF(J137="Quadruplex",VLOOKUP(M137,'Características dos Cabos MX'!$C$21:$K$27,2),(IF(J137="13",VLOOKUP(M137,'Características dos Cabos MX'!$C$15:$L$20,2),"")))))))</f>
        <v/>
      </c>
      <c r="V137" s="221" t="str">
        <f>IF(J137="Duplex",VLOOKUP(M137,'Características dos Cabos MX'!$C$12:$I$14,3),(IF(J137="Triplex",VLOOKUP(M137,'Características dos Cabos MX'!$C$15:$J$20,3),(IF(J137="Quadruplex",VLOOKUP(M137,'Características dos Cabos MX'!$C$21:$K$27,3),(IF(J137="13",VLOOKUP(M137,'Características dos Cabos MX'!$C$15:$L$20,3),"")))))))</f>
        <v/>
      </c>
      <c r="W137" s="224" t="str">
        <f t="shared" si="34"/>
        <v/>
      </c>
      <c r="X137" s="224" t="str">
        <f t="shared" si="35"/>
        <v/>
      </c>
      <c r="Y137" s="225" t="str">
        <f t="shared" si="36"/>
        <v/>
      </c>
      <c r="AA137" s="298">
        <f t="shared" si="32"/>
        <v>0</v>
      </c>
      <c r="AB137" s="298">
        <f t="shared" si="40"/>
        <v>0</v>
      </c>
      <c r="AC137" s="284"/>
      <c r="AE137" s="299" t="str">
        <f t="shared" si="28"/>
        <v/>
      </c>
      <c r="AF137" s="334">
        <f t="shared" si="29"/>
        <v>0</v>
      </c>
    </row>
    <row r="138" spans="1:32" ht="15" customHeight="1" x14ac:dyDescent="0.25">
      <c r="A138" s="575"/>
      <c r="B138" s="564"/>
      <c r="C138" s="432"/>
      <c r="D138" s="433"/>
      <c r="E138" s="438"/>
      <c r="F138" s="216" t="str">
        <f t="shared" si="30"/>
        <v/>
      </c>
      <c r="G138" s="451"/>
      <c r="H138" s="217" t="str">
        <f>IF(AND(E138="",G138=""),"",SUM(F138:G145))</f>
        <v/>
      </c>
      <c r="I138" s="218"/>
      <c r="J138" s="259"/>
      <c r="K138" s="259"/>
      <c r="L138" s="226" t="str">
        <f>IF(J138="Duplex",VLOOKUP(M138,'Características dos Cabos MX'!$C$12:$I$14,7),(IF(J138="Triplex",VLOOKUP(M138,'Características dos Cabos MX'!$C$15:$J$20,8),(IF(J138="Quadruplex",VLOOKUP(M138,'Características dos Cabos MX'!$C$21:$K$27,9),(IF(J138="13",VLOOKUP(M138,'Características dos Cabos MX'!$C$15:$L$20,10),"")))))))</f>
        <v/>
      </c>
      <c r="M138" s="410" t="str">
        <f t="shared" si="25"/>
        <v/>
      </c>
      <c r="N138" s="444"/>
      <c r="O138" s="219" t="str">
        <f t="shared" si="31"/>
        <v/>
      </c>
      <c r="P138" s="220" t="str">
        <f t="shared" si="41"/>
        <v/>
      </c>
      <c r="Q138" s="220" t="str">
        <f t="shared" si="26"/>
        <v/>
      </c>
      <c r="R138" s="221" t="str">
        <f>IF(J138="Duplex",VLOOKUP(M138,'Características dos Cabos MX'!$C$12:$I$14,5),(IF(J138="Triplex",VLOOKUP(M138,'Características dos Cabos MX'!$C$15:$J$20,5),(IF(J138="Quadruplex",VLOOKUP(M138,'Características dos Cabos MX'!$C$21:$K$27,5),(IF(J138="13",VLOOKUP(M138,'Características dos Cabos MX'!$C$15:$L$20,5),"")))))))</f>
        <v/>
      </c>
      <c r="S138" s="221" t="str">
        <f>IF(J138="Duplex",VLOOKUP(M138,'Características dos Cabos MX'!$C$12:$I$14,6),(IF(J138="Triplex",VLOOKUP(M138,'Características dos Cabos MX'!$C$15:$J$20,6),(IF(J138="Quadruplex",VLOOKUP(M138,'Características dos Cabos MX'!$C$21:$K$27,6),(IF(J138="13",VLOOKUP(M138,'Características dos Cabos MX'!$C$15:$L$20,6),"")))))))</f>
        <v/>
      </c>
      <c r="T138" s="222" t="str">
        <f t="shared" si="33"/>
        <v/>
      </c>
      <c r="U138" s="223" t="str">
        <f>IF(J138="Duplex",VLOOKUP(M138,'Características dos Cabos MX'!$C$12:$I$14,2),(IF(J138="Triplex",VLOOKUP(M138,'Características dos Cabos MX'!$C$15:$J$20,2),(IF(J138="Quadruplex",VLOOKUP(M138,'Características dos Cabos MX'!$C$21:$K$27,2),(IF(J138="13",VLOOKUP(M138,'Características dos Cabos MX'!$C$15:$L$20,2),"")))))))</f>
        <v/>
      </c>
      <c r="V138" s="221" t="str">
        <f>IF(J138="Duplex",VLOOKUP(M138,'Características dos Cabos MX'!$C$12:$I$14,3),(IF(J138="Triplex",VLOOKUP(M138,'Características dos Cabos MX'!$C$15:$J$20,3),(IF(J138="Quadruplex",VLOOKUP(M138,'Características dos Cabos MX'!$C$21:$K$27,3),(IF(J138="13",VLOOKUP(M138,'Características dos Cabos MX'!$C$15:$L$20,3),"")))))))</f>
        <v/>
      </c>
      <c r="W138" s="224" t="str">
        <f t="shared" si="34"/>
        <v/>
      </c>
      <c r="X138" s="224" t="str">
        <f t="shared" si="35"/>
        <v/>
      </c>
      <c r="Y138" s="225" t="str">
        <f t="shared" si="36"/>
        <v/>
      </c>
      <c r="AA138" s="298">
        <f t="shared" si="32"/>
        <v>0</v>
      </c>
      <c r="AB138" s="298">
        <f t="shared" si="40"/>
        <v>0</v>
      </c>
      <c r="AC138" s="284"/>
      <c r="AE138" s="299" t="str">
        <f t="shared" si="28"/>
        <v/>
      </c>
      <c r="AF138" s="334">
        <f t="shared" si="29"/>
        <v>0</v>
      </c>
    </row>
    <row r="139" spans="1:32" ht="15" customHeight="1" x14ac:dyDescent="0.25">
      <c r="A139" s="575"/>
      <c r="B139" s="564"/>
      <c r="C139" s="432"/>
      <c r="D139" s="433"/>
      <c r="E139" s="438"/>
      <c r="F139" s="216" t="str">
        <f t="shared" si="30"/>
        <v/>
      </c>
      <c r="G139" s="451"/>
      <c r="H139" s="217" t="str">
        <f>IF(AND(E139="",G139=""),"",SUM(F139:G145))</f>
        <v/>
      </c>
      <c r="I139" s="218"/>
      <c r="J139" s="259"/>
      <c r="K139" s="259"/>
      <c r="L139" s="226" t="str">
        <f>IF(J139="Duplex",VLOOKUP(M139,'Características dos Cabos MX'!$C$12:$I$14,7),(IF(J139="Triplex",VLOOKUP(M139,'Características dos Cabos MX'!$C$15:$J$20,8),(IF(J139="Quadruplex",VLOOKUP(M139,'Características dos Cabos MX'!$C$21:$K$27,9),(IF(J139="13",VLOOKUP(M139,'Características dos Cabos MX'!$C$15:$L$20,10),"")))))))</f>
        <v/>
      </c>
      <c r="M139" s="410" t="str">
        <f t="shared" si="25"/>
        <v/>
      </c>
      <c r="N139" s="444"/>
      <c r="O139" s="219" t="str">
        <f t="shared" si="31"/>
        <v/>
      </c>
      <c r="P139" s="220" t="str">
        <f t="shared" si="41"/>
        <v/>
      </c>
      <c r="Q139" s="220" t="str">
        <f t="shared" si="26"/>
        <v/>
      </c>
      <c r="R139" s="221" t="str">
        <f>IF(J139="Duplex",VLOOKUP(M139,'Características dos Cabos MX'!$C$12:$I$14,5),(IF(J139="Triplex",VLOOKUP(M139,'Características dos Cabos MX'!$C$15:$J$20,5),(IF(J139="Quadruplex",VLOOKUP(M139,'Características dos Cabos MX'!$C$21:$K$27,5),(IF(J139="13",VLOOKUP(M139,'Características dos Cabos MX'!$C$15:$L$20,5),"")))))))</f>
        <v/>
      </c>
      <c r="S139" s="221" t="str">
        <f>IF(J139="Duplex",VLOOKUP(M139,'Características dos Cabos MX'!$C$12:$I$14,6),(IF(J139="Triplex",VLOOKUP(M139,'Características dos Cabos MX'!$C$15:$J$20,6),(IF(J139="Quadruplex",VLOOKUP(M139,'Características dos Cabos MX'!$C$21:$K$27,6),(IF(J139="13",VLOOKUP(M139,'Características dos Cabos MX'!$C$15:$L$20,6),"")))))))</f>
        <v/>
      </c>
      <c r="T139" s="222" t="str">
        <f t="shared" si="33"/>
        <v/>
      </c>
      <c r="U139" s="223" t="str">
        <f>IF(J139="Duplex",VLOOKUP(M139,'Características dos Cabos MX'!$C$12:$I$14,2),(IF(J139="Triplex",VLOOKUP(M139,'Características dos Cabos MX'!$C$15:$J$20,2),(IF(J139="Quadruplex",VLOOKUP(M139,'Características dos Cabos MX'!$C$21:$K$27,2),(IF(J139="13",VLOOKUP(M139,'Características dos Cabos MX'!$C$15:$L$20,2),"")))))))</f>
        <v/>
      </c>
      <c r="V139" s="221" t="str">
        <f>IF(J139="Duplex",VLOOKUP(M139,'Características dos Cabos MX'!$C$12:$I$14,3),(IF(J139="Triplex",VLOOKUP(M139,'Características dos Cabos MX'!$C$15:$J$20,3),(IF(J139="Quadruplex",VLOOKUP(M139,'Características dos Cabos MX'!$C$21:$K$27,3),(IF(J139="13",VLOOKUP(M139,'Características dos Cabos MX'!$C$15:$L$20,3),"")))))))</f>
        <v/>
      </c>
      <c r="W139" s="224" t="str">
        <f t="shared" si="34"/>
        <v/>
      </c>
      <c r="X139" s="224" t="str">
        <f t="shared" si="35"/>
        <v/>
      </c>
      <c r="Y139" s="225" t="str">
        <f t="shared" si="36"/>
        <v/>
      </c>
      <c r="AA139" s="298">
        <f t="shared" si="32"/>
        <v>0</v>
      </c>
      <c r="AB139" s="298">
        <f t="shared" si="40"/>
        <v>0</v>
      </c>
      <c r="AC139" s="284"/>
      <c r="AE139" s="299" t="str">
        <f t="shared" si="28"/>
        <v/>
      </c>
      <c r="AF139" s="334">
        <f t="shared" si="29"/>
        <v>0</v>
      </c>
    </row>
    <row r="140" spans="1:32" ht="15" customHeight="1" x14ac:dyDescent="0.25">
      <c r="A140" s="575"/>
      <c r="B140" s="564"/>
      <c r="C140" s="432"/>
      <c r="D140" s="433"/>
      <c r="E140" s="438"/>
      <c r="F140" s="216" t="str">
        <f t="shared" si="30"/>
        <v/>
      </c>
      <c r="G140" s="451"/>
      <c r="H140" s="217" t="str">
        <f>IF(AND(E140="",G140=""),"",SUM(F140:G145))</f>
        <v/>
      </c>
      <c r="I140" s="218"/>
      <c r="J140" s="259"/>
      <c r="K140" s="259"/>
      <c r="L140" s="226" t="str">
        <f>IF(J140="Duplex",VLOOKUP(M140,'Características dos Cabos MX'!$C$12:$I$14,7),(IF(J140="Triplex",VLOOKUP(M140,'Características dos Cabos MX'!$C$15:$J$20,8),(IF(J140="Quadruplex",VLOOKUP(M140,'Características dos Cabos MX'!$C$21:$K$27,9),(IF(J140="13",VLOOKUP(M140,'Características dos Cabos MX'!$C$15:$L$20,10),"")))))))</f>
        <v/>
      </c>
      <c r="M140" s="410" t="str">
        <f t="shared" si="25"/>
        <v/>
      </c>
      <c r="N140" s="444"/>
      <c r="O140" s="219" t="str">
        <f t="shared" si="31"/>
        <v/>
      </c>
      <c r="P140" s="220" t="str">
        <f t="shared" si="41"/>
        <v/>
      </c>
      <c r="Q140" s="220" t="str">
        <f t="shared" si="26"/>
        <v/>
      </c>
      <c r="R140" s="221" t="str">
        <f>IF(J140="Duplex",VLOOKUP(M140,'Características dos Cabos MX'!$C$12:$I$14,5),(IF(J140="Triplex",VLOOKUP(M140,'Características dos Cabos MX'!$C$15:$J$20,5),(IF(J140="Quadruplex",VLOOKUP(M140,'Características dos Cabos MX'!$C$21:$K$27,5),(IF(J140="13",VLOOKUP(M140,'Características dos Cabos MX'!$C$15:$L$20,5),"")))))))</f>
        <v/>
      </c>
      <c r="S140" s="221" t="str">
        <f>IF(J140="Duplex",VLOOKUP(M140,'Características dos Cabos MX'!$C$12:$I$14,6),(IF(J140="Triplex",VLOOKUP(M140,'Características dos Cabos MX'!$C$15:$J$20,6),(IF(J140="Quadruplex",VLOOKUP(M140,'Características dos Cabos MX'!$C$21:$K$27,6),(IF(J140="13",VLOOKUP(M140,'Características dos Cabos MX'!$C$15:$L$20,6),"")))))))</f>
        <v/>
      </c>
      <c r="T140" s="222" t="str">
        <f t="shared" si="33"/>
        <v/>
      </c>
      <c r="U140" s="223" t="str">
        <f>IF(J140="Duplex",VLOOKUP(M140,'Características dos Cabos MX'!$C$12:$I$14,2),(IF(J140="Triplex",VLOOKUP(M140,'Características dos Cabos MX'!$C$15:$J$20,2),(IF(J140="Quadruplex",VLOOKUP(M140,'Características dos Cabos MX'!$C$21:$K$27,2),(IF(J140="13",VLOOKUP(M140,'Características dos Cabos MX'!$C$15:$L$20,2),"")))))))</f>
        <v/>
      </c>
      <c r="V140" s="221" t="str">
        <f>IF(J140="Duplex",VLOOKUP(M140,'Características dos Cabos MX'!$C$12:$I$14,3),(IF(J140="Triplex",VLOOKUP(M140,'Características dos Cabos MX'!$C$15:$J$20,3),(IF(J140="Quadruplex",VLOOKUP(M140,'Características dos Cabos MX'!$C$21:$K$27,3),(IF(J140="13",VLOOKUP(M140,'Características dos Cabos MX'!$C$15:$L$20,3),"")))))))</f>
        <v/>
      </c>
      <c r="W140" s="224" t="str">
        <f t="shared" si="34"/>
        <v/>
      </c>
      <c r="X140" s="224" t="str">
        <f t="shared" si="35"/>
        <v/>
      </c>
      <c r="Y140" s="225" t="str">
        <f t="shared" si="36"/>
        <v/>
      </c>
      <c r="AA140" s="298">
        <f t="shared" si="32"/>
        <v>0</v>
      </c>
      <c r="AB140" s="298">
        <f t="shared" si="40"/>
        <v>0</v>
      </c>
      <c r="AC140" s="284"/>
      <c r="AE140" s="299" t="str">
        <f t="shared" si="28"/>
        <v/>
      </c>
      <c r="AF140" s="334">
        <f t="shared" si="29"/>
        <v>0</v>
      </c>
    </row>
    <row r="141" spans="1:32" ht="15" customHeight="1" x14ac:dyDescent="0.25">
      <c r="A141" s="575"/>
      <c r="B141" s="564"/>
      <c r="C141" s="432"/>
      <c r="D141" s="433"/>
      <c r="E141" s="438"/>
      <c r="F141" s="216" t="str">
        <f t="shared" si="30"/>
        <v/>
      </c>
      <c r="G141" s="451"/>
      <c r="H141" s="217" t="str">
        <f>IF(AND(E141="",G141=""),"",SUM(F141:G145))</f>
        <v/>
      </c>
      <c r="I141" s="218"/>
      <c r="J141" s="259"/>
      <c r="K141" s="259"/>
      <c r="L141" s="226" t="str">
        <f>IF(J141="Duplex",VLOOKUP(M141,'Características dos Cabos MX'!$C$12:$I$14,7),(IF(J141="Triplex",VLOOKUP(M141,'Características dos Cabos MX'!$C$15:$J$20,8),(IF(J141="Quadruplex",VLOOKUP(M141,'Características dos Cabos MX'!$C$21:$K$27,9),(IF(J141="13",VLOOKUP(M141,'Características dos Cabos MX'!$C$15:$L$20,10),"")))))))</f>
        <v/>
      </c>
      <c r="M141" s="410" t="str">
        <f t="shared" si="25"/>
        <v/>
      </c>
      <c r="N141" s="444"/>
      <c r="O141" s="219" t="str">
        <f t="shared" si="31"/>
        <v/>
      </c>
      <c r="P141" s="220" t="str">
        <f t="shared" si="41"/>
        <v/>
      </c>
      <c r="Q141" s="220" t="str">
        <f t="shared" si="26"/>
        <v/>
      </c>
      <c r="R141" s="221" t="str">
        <f>IF(J141="Duplex",VLOOKUP(M141,'Características dos Cabos MX'!$C$12:$I$14,5),(IF(J141="Triplex",VLOOKUP(M141,'Características dos Cabos MX'!$C$15:$J$20,5),(IF(J141="Quadruplex",VLOOKUP(M141,'Características dos Cabos MX'!$C$21:$K$27,5),(IF(J141="13",VLOOKUP(M141,'Características dos Cabos MX'!$C$15:$L$20,5),"")))))))</f>
        <v/>
      </c>
      <c r="S141" s="221" t="str">
        <f>IF(J141="Duplex",VLOOKUP(M141,'Características dos Cabos MX'!$C$12:$I$14,6),(IF(J141="Triplex",VLOOKUP(M141,'Características dos Cabos MX'!$C$15:$J$20,6),(IF(J141="Quadruplex",VLOOKUP(M141,'Características dos Cabos MX'!$C$21:$K$27,6),(IF(J141="13",VLOOKUP(M141,'Características dos Cabos MX'!$C$15:$L$20,6),"")))))))</f>
        <v/>
      </c>
      <c r="T141" s="222" t="str">
        <f t="shared" si="33"/>
        <v/>
      </c>
      <c r="U141" s="223" t="str">
        <f>IF(J141="Duplex",VLOOKUP(M141,'Características dos Cabos MX'!$C$12:$I$14,2),(IF(J141="Triplex",VLOOKUP(M141,'Características dos Cabos MX'!$C$15:$J$20,2),(IF(J141="Quadruplex",VLOOKUP(M141,'Características dos Cabos MX'!$C$21:$K$27,2),(IF(J141="13",VLOOKUP(M141,'Características dos Cabos MX'!$C$15:$L$20,2),"")))))))</f>
        <v/>
      </c>
      <c r="V141" s="221" t="str">
        <f>IF(J141="Duplex",VLOOKUP(M141,'Características dos Cabos MX'!$C$12:$I$14,3),(IF(J141="Triplex",VLOOKUP(M141,'Características dos Cabos MX'!$C$15:$J$20,3),(IF(J141="Quadruplex",VLOOKUP(M141,'Características dos Cabos MX'!$C$21:$K$27,3),(IF(J141="13",VLOOKUP(M141,'Características dos Cabos MX'!$C$15:$L$20,3),"")))))))</f>
        <v/>
      </c>
      <c r="W141" s="224" t="str">
        <f t="shared" si="34"/>
        <v/>
      </c>
      <c r="X141" s="224" t="str">
        <f t="shared" si="35"/>
        <v/>
      </c>
      <c r="Y141" s="225" t="str">
        <f t="shared" si="36"/>
        <v/>
      </c>
      <c r="AA141" s="298">
        <f t="shared" si="32"/>
        <v>0</v>
      </c>
      <c r="AB141" s="298">
        <f t="shared" si="40"/>
        <v>0</v>
      </c>
      <c r="AC141" s="284"/>
      <c r="AE141" s="299" t="str">
        <f t="shared" si="28"/>
        <v/>
      </c>
      <c r="AF141" s="334">
        <f t="shared" si="29"/>
        <v>0</v>
      </c>
    </row>
    <row r="142" spans="1:32" ht="15" customHeight="1" x14ac:dyDescent="0.25">
      <c r="A142" s="575"/>
      <c r="B142" s="564"/>
      <c r="C142" s="432"/>
      <c r="D142" s="433"/>
      <c r="E142" s="438"/>
      <c r="F142" s="216" t="str">
        <f t="shared" si="30"/>
        <v/>
      </c>
      <c r="G142" s="451"/>
      <c r="H142" s="217" t="str">
        <f>IF(AND(E142="",G142=""),"",SUM(F142:G145))</f>
        <v/>
      </c>
      <c r="I142" s="218"/>
      <c r="J142" s="259"/>
      <c r="K142" s="259"/>
      <c r="L142" s="226" t="str">
        <f>IF(J142="Duplex",VLOOKUP(M142,'Características dos Cabos MX'!$C$12:$I$14,7),(IF(J142="Triplex",VLOOKUP(M142,'Características dos Cabos MX'!$C$15:$J$20,8),(IF(J142="Quadruplex",VLOOKUP(M142,'Características dos Cabos MX'!$C$21:$K$27,9),(IF(J142="13",VLOOKUP(M142,'Características dos Cabos MX'!$C$15:$L$20,10),"")))))))</f>
        <v/>
      </c>
      <c r="M142" s="410" t="str">
        <f t="shared" si="25"/>
        <v/>
      </c>
      <c r="N142" s="444"/>
      <c r="O142" s="219" t="str">
        <f t="shared" ref="O142:O173" si="42">IF(OR(N142="",L142="",H142=""),"",N142*L142*H142)</f>
        <v/>
      </c>
      <c r="P142" s="220" t="str">
        <f t="shared" si="41"/>
        <v/>
      </c>
      <c r="Q142" s="220" t="str">
        <f t="shared" si="26"/>
        <v/>
      </c>
      <c r="R142" s="221" t="str">
        <f>IF(J142="Duplex",VLOOKUP(M142,'Características dos Cabos MX'!$C$12:$I$14,5),(IF(J142="Triplex",VLOOKUP(M142,'Características dos Cabos MX'!$C$15:$J$20,5),(IF(J142="Quadruplex",VLOOKUP(M142,'Características dos Cabos MX'!$C$21:$K$27,5),(IF(J142="13",VLOOKUP(M142,'Características dos Cabos MX'!$C$15:$L$20,5),"")))))))</f>
        <v/>
      </c>
      <c r="S142" s="221" t="str">
        <f>IF(J142="Duplex",VLOOKUP(M142,'Características dos Cabos MX'!$C$12:$I$14,6),(IF(J142="Triplex",VLOOKUP(M142,'Características dos Cabos MX'!$C$15:$J$20,6),(IF(J142="Quadruplex",VLOOKUP(M142,'Características dos Cabos MX'!$C$21:$K$27,6),(IF(J142="13",VLOOKUP(M142,'Características dos Cabos MX'!$C$15:$L$20,6),"")))))))</f>
        <v/>
      </c>
      <c r="T142" s="222" t="str">
        <f t="shared" si="33"/>
        <v/>
      </c>
      <c r="U142" s="223" t="str">
        <f>IF(J142="Duplex",VLOOKUP(M142,'Características dos Cabos MX'!$C$12:$I$14,2),(IF(J142="Triplex",VLOOKUP(M142,'Características dos Cabos MX'!$C$15:$J$20,2),(IF(J142="Quadruplex",VLOOKUP(M142,'Características dos Cabos MX'!$C$21:$K$27,2),(IF(J142="13",VLOOKUP(M142,'Características dos Cabos MX'!$C$15:$L$20,2),"")))))))</f>
        <v/>
      </c>
      <c r="V142" s="221" t="str">
        <f>IF(J142="Duplex",VLOOKUP(M142,'Características dos Cabos MX'!$C$12:$I$14,3),(IF(J142="Triplex",VLOOKUP(M142,'Características dos Cabos MX'!$C$15:$J$20,3),(IF(J142="Quadruplex",VLOOKUP(M142,'Características dos Cabos MX'!$C$21:$K$27,3),(IF(J142="13",VLOOKUP(M142,'Características dos Cabos MX'!$C$15:$L$20,3),"")))))))</f>
        <v/>
      </c>
      <c r="W142" s="224" t="str">
        <f t="shared" si="34"/>
        <v/>
      </c>
      <c r="X142" s="224" t="str">
        <f t="shared" si="35"/>
        <v/>
      </c>
      <c r="Y142" s="225" t="str">
        <f t="shared" si="36"/>
        <v/>
      </c>
      <c r="AA142" s="298">
        <f t="shared" ref="AA142:AA173" si="43">D142</f>
        <v>0</v>
      </c>
      <c r="AB142" s="298">
        <f t="shared" si="40"/>
        <v>0</v>
      </c>
      <c r="AC142" s="284"/>
      <c r="AE142" s="299" t="str">
        <f t="shared" si="28"/>
        <v/>
      </c>
      <c r="AF142" s="334">
        <f t="shared" si="29"/>
        <v>0</v>
      </c>
    </row>
    <row r="143" spans="1:32" ht="15" customHeight="1" x14ac:dyDescent="0.25">
      <c r="A143" s="575"/>
      <c r="B143" s="564"/>
      <c r="C143" s="432"/>
      <c r="D143" s="433"/>
      <c r="E143" s="438"/>
      <c r="F143" s="216" t="str">
        <f t="shared" si="30"/>
        <v/>
      </c>
      <c r="G143" s="451"/>
      <c r="H143" s="217" t="str">
        <f>IF(AND(E143="",G143=""),"",SUM(F143:G145))</f>
        <v/>
      </c>
      <c r="I143" s="218"/>
      <c r="J143" s="259"/>
      <c r="K143" s="259"/>
      <c r="L143" s="226" t="str">
        <f>IF(J143="Duplex",VLOOKUP(M143,'Características dos Cabos MX'!$C$12:$I$14,7),(IF(J143="Triplex",VLOOKUP(M143,'Características dos Cabos MX'!$C$15:$J$20,8),(IF(J143="Quadruplex",VLOOKUP(M143,'Características dos Cabos MX'!$C$21:$K$27,9),(IF(J143="13",VLOOKUP(M143,'Características dos Cabos MX'!$C$15:$L$20,10),"")))))))</f>
        <v/>
      </c>
      <c r="M143" s="410" t="str">
        <f t="shared" si="25"/>
        <v/>
      </c>
      <c r="N143" s="444"/>
      <c r="O143" s="219" t="str">
        <f t="shared" si="42"/>
        <v/>
      </c>
      <c r="P143" s="220" t="str">
        <f t="shared" si="41"/>
        <v/>
      </c>
      <c r="Q143" s="220" t="str">
        <f t="shared" si="26"/>
        <v/>
      </c>
      <c r="R143" s="221" t="str">
        <f>IF(J143="Duplex",VLOOKUP(M143,'Características dos Cabos MX'!$C$12:$I$14,5),(IF(J143="Triplex",VLOOKUP(M143,'Características dos Cabos MX'!$C$15:$J$20,5),(IF(J143="Quadruplex",VLOOKUP(M143,'Características dos Cabos MX'!$C$21:$K$27,5),(IF(J143="13",VLOOKUP(M143,'Características dos Cabos MX'!$C$15:$L$20,5),"")))))))</f>
        <v/>
      </c>
      <c r="S143" s="221" t="str">
        <f>IF(J143="Duplex",VLOOKUP(M143,'Características dos Cabos MX'!$C$12:$I$14,6),(IF(J143="Triplex",VLOOKUP(M143,'Características dos Cabos MX'!$C$15:$J$20,6),(IF(J143="Quadruplex",VLOOKUP(M143,'Características dos Cabos MX'!$C$21:$K$27,6),(IF(J143="13",VLOOKUP(M143,'Características dos Cabos MX'!$C$15:$L$20,6),"")))))))</f>
        <v/>
      </c>
      <c r="T143" s="222" t="str">
        <f t="shared" si="33"/>
        <v/>
      </c>
      <c r="U143" s="223" t="str">
        <f>IF(J143="Duplex",VLOOKUP(M143,'Características dos Cabos MX'!$C$12:$I$14,2),(IF(J143="Triplex",VLOOKUP(M143,'Características dos Cabos MX'!$C$15:$J$20,2),(IF(J143="Quadruplex",VLOOKUP(M143,'Características dos Cabos MX'!$C$21:$K$27,2),(IF(J143="13",VLOOKUP(M143,'Características dos Cabos MX'!$C$15:$L$20,2),"")))))))</f>
        <v/>
      </c>
      <c r="V143" s="221" t="str">
        <f>IF(J143="Duplex",VLOOKUP(M143,'Características dos Cabos MX'!$C$12:$I$14,3),(IF(J143="Triplex",VLOOKUP(M143,'Características dos Cabos MX'!$C$15:$J$20,3),(IF(J143="Quadruplex",VLOOKUP(M143,'Características dos Cabos MX'!$C$21:$K$27,3),(IF(J143="13",VLOOKUP(M143,'Características dos Cabos MX'!$C$15:$L$20,3),"")))))))</f>
        <v/>
      </c>
      <c r="W143" s="224" t="str">
        <f t="shared" si="34"/>
        <v/>
      </c>
      <c r="X143" s="224" t="str">
        <f t="shared" si="35"/>
        <v/>
      </c>
      <c r="Y143" s="225" t="str">
        <f t="shared" si="36"/>
        <v/>
      </c>
      <c r="AA143" s="298">
        <f t="shared" si="43"/>
        <v>0</v>
      </c>
      <c r="AB143" s="298">
        <f t="shared" si="40"/>
        <v>0</v>
      </c>
      <c r="AC143" s="284"/>
      <c r="AE143" s="299" t="str">
        <f t="shared" si="28"/>
        <v/>
      </c>
      <c r="AF143" s="334">
        <f t="shared" si="29"/>
        <v>0</v>
      </c>
    </row>
    <row r="144" spans="1:32" ht="15" customHeight="1" x14ac:dyDescent="0.25">
      <c r="A144" s="575"/>
      <c r="B144" s="564"/>
      <c r="C144" s="432"/>
      <c r="D144" s="433"/>
      <c r="E144" s="438"/>
      <c r="F144" s="216" t="str">
        <f t="shared" si="30"/>
        <v/>
      </c>
      <c r="G144" s="451"/>
      <c r="H144" s="217" t="str">
        <f>IF(AND(E144="",G144=""),"",SUM(F144:G145))</f>
        <v/>
      </c>
      <c r="I144" s="218"/>
      <c r="J144" s="259"/>
      <c r="K144" s="259"/>
      <c r="L144" s="226" t="str">
        <f>IF(J144="Duplex",VLOOKUP(M144,'Características dos Cabos MX'!$C$12:$I$14,7),(IF(J144="Triplex",VLOOKUP(M144,'Características dos Cabos MX'!$C$15:$J$20,8),(IF(J144="Quadruplex",VLOOKUP(M144,'Características dos Cabos MX'!$C$21:$K$27,9),(IF(J144="13",VLOOKUP(M144,'Características dos Cabos MX'!$C$15:$L$20,10),"")))))))</f>
        <v/>
      </c>
      <c r="M144" s="410" t="str">
        <f t="shared" si="25"/>
        <v/>
      </c>
      <c r="N144" s="444"/>
      <c r="O144" s="219" t="str">
        <f t="shared" si="42"/>
        <v/>
      </c>
      <c r="P144" s="220" t="str">
        <f t="shared" si="41"/>
        <v/>
      </c>
      <c r="Q144" s="220" t="str">
        <f t="shared" si="26"/>
        <v/>
      </c>
      <c r="R144" s="221" t="str">
        <f>IF(J144="Duplex",VLOOKUP(M144,'Características dos Cabos MX'!$C$12:$I$14,5),(IF(J144="Triplex",VLOOKUP(M144,'Características dos Cabos MX'!$C$15:$J$20,5),(IF(J144="Quadruplex",VLOOKUP(M144,'Características dos Cabos MX'!$C$21:$K$27,5),(IF(J144="13",VLOOKUP(M144,'Características dos Cabos MX'!$C$15:$L$20,5),"")))))))</f>
        <v/>
      </c>
      <c r="S144" s="221" t="str">
        <f>IF(J144="Duplex",VLOOKUP(M144,'Características dos Cabos MX'!$C$12:$I$14,6),(IF(J144="Triplex",VLOOKUP(M144,'Características dos Cabos MX'!$C$15:$J$20,6),(IF(J144="Quadruplex",VLOOKUP(M144,'Características dos Cabos MX'!$C$21:$K$27,6),(IF(J144="13",VLOOKUP(M144,'Características dos Cabos MX'!$C$15:$L$20,6),"")))))))</f>
        <v/>
      </c>
      <c r="T144" s="222" t="str">
        <f t="shared" si="33"/>
        <v/>
      </c>
      <c r="U144" s="223" t="str">
        <f>IF(J144="Duplex",VLOOKUP(M144,'Características dos Cabos MX'!$C$12:$I$14,2),(IF(J144="Triplex",VLOOKUP(M144,'Características dos Cabos MX'!$C$15:$J$20,2),(IF(J144="Quadruplex",VLOOKUP(M144,'Características dos Cabos MX'!$C$21:$K$27,2),(IF(J144="13",VLOOKUP(M144,'Características dos Cabos MX'!$C$15:$L$20,2),"")))))))</f>
        <v/>
      </c>
      <c r="V144" s="221" t="str">
        <f>IF(J144="Duplex",VLOOKUP(M144,'Características dos Cabos MX'!$C$12:$I$14,3),(IF(J144="Triplex",VLOOKUP(M144,'Características dos Cabos MX'!$C$15:$J$20,3),(IF(J144="Quadruplex",VLOOKUP(M144,'Características dos Cabos MX'!$C$21:$K$27,3),(IF(J144="13",VLOOKUP(M144,'Características dos Cabos MX'!$C$15:$L$20,3),"")))))))</f>
        <v/>
      </c>
      <c r="W144" s="224" t="str">
        <f t="shared" si="34"/>
        <v/>
      </c>
      <c r="X144" s="224" t="str">
        <f t="shared" si="35"/>
        <v/>
      </c>
      <c r="Y144" s="225" t="str">
        <f t="shared" si="36"/>
        <v/>
      </c>
      <c r="AA144" s="298">
        <f t="shared" si="43"/>
        <v>0</v>
      </c>
      <c r="AB144" s="298">
        <f t="shared" si="40"/>
        <v>0</v>
      </c>
      <c r="AC144" s="284"/>
      <c r="AE144" s="299" t="str">
        <f t="shared" si="28"/>
        <v/>
      </c>
      <c r="AF144" s="334">
        <f t="shared" si="29"/>
        <v>0</v>
      </c>
    </row>
    <row r="145" spans="1:32" ht="15" customHeight="1" thickBot="1" x14ac:dyDescent="0.3">
      <c r="A145" s="575"/>
      <c r="B145" s="565"/>
      <c r="C145" s="434"/>
      <c r="D145" s="435"/>
      <c r="E145" s="434"/>
      <c r="F145" s="228" t="str">
        <f t="shared" si="30"/>
        <v/>
      </c>
      <c r="G145" s="452"/>
      <c r="H145" s="229" t="str">
        <f>IF(AND(E145="",G145=""),"",SUM(F145:G145))</f>
        <v/>
      </c>
      <c r="I145" s="230"/>
      <c r="J145" s="260"/>
      <c r="K145" s="260"/>
      <c r="L145" s="231" t="str">
        <f>IF(J145="Duplex",VLOOKUP(M145,'Características dos Cabos MX'!$C$12:$I$14,7),(IF(J145="Triplex",VLOOKUP(M145,'Características dos Cabos MX'!$C$15:$J$20,8),(IF(J145="Quadruplex",VLOOKUP(M145,'Características dos Cabos MX'!$C$21:$K$27,9),(IF(J145="13",VLOOKUP(M145,'Características dos Cabos MX'!$C$15:$L$20,10),"")))))))</f>
        <v/>
      </c>
      <c r="M145" s="412" t="str">
        <f t="shared" si="25"/>
        <v/>
      </c>
      <c r="N145" s="445"/>
      <c r="O145" s="232" t="str">
        <f t="shared" si="42"/>
        <v/>
      </c>
      <c r="P145" s="233" t="str">
        <f t="shared" si="41"/>
        <v/>
      </c>
      <c r="Q145" s="233" t="str">
        <f t="shared" si="26"/>
        <v/>
      </c>
      <c r="R145" s="234" t="str">
        <f>IF(J145="Duplex",VLOOKUP(M145,'Características dos Cabos MX'!$C$12:$I$14,5),(IF(J145="Triplex",VLOOKUP(M145,'Características dos Cabos MX'!$C$15:$J$20,5),(IF(J145="Quadruplex",VLOOKUP(M145,'Características dos Cabos MX'!$C$21:$K$27,5),(IF(J145="13",VLOOKUP(M145,'Características dos Cabos MX'!$C$15:$L$20,5),"")))))))</f>
        <v/>
      </c>
      <c r="S145" s="234" t="str">
        <f>IF(J145="Duplex",VLOOKUP(M145,'Características dos Cabos MX'!$C$12:$I$14,6),(IF(J145="Triplex",VLOOKUP(M145,'Características dos Cabos MX'!$C$15:$J$20,6),(IF(J145="Quadruplex",VLOOKUP(M145,'Características dos Cabos MX'!$C$21:$K$27,6),(IF(J145="13",VLOOKUP(M145,'Características dos Cabos MX'!$C$15:$L$20,6),"")))))))</f>
        <v/>
      </c>
      <c r="T145" s="235" t="str">
        <f t="shared" si="33"/>
        <v/>
      </c>
      <c r="U145" s="236" t="str">
        <f>IF(J145="Duplex",VLOOKUP(M145,'Características dos Cabos MX'!$C$12:$I$14,2),(IF(J145="Triplex",VLOOKUP(M145,'Características dos Cabos MX'!$C$15:$J$20,2),(IF(J145="Quadruplex",VLOOKUP(M145,'Características dos Cabos MX'!$C$21:$K$27,2),(IF(J145="13",VLOOKUP(M145,'Características dos Cabos MX'!$C$15:$L$20,2),"")))))))</f>
        <v/>
      </c>
      <c r="V145" s="234" t="str">
        <f>IF(J145="Duplex",VLOOKUP(M145,'Características dos Cabos MX'!$C$12:$I$14,3),(IF(J145="Triplex",VLOOKUP(M145,'Características dos Cabos MX'!$C$15:$J$20,3),(IF(J145="Quadruplex",VLOOKUP(M145,'Características dos Cabos MX'!$C$21:$K$27,3),(IF(J145="13",VLOOKUP(M145,'Características dos Cabos MX'!$C$15:$L$20,3),"")))))))</f>
        <v/>
      </c>
      <c r="W145" s="237" t="str">
        <f t="shared" si="34"/>
        <v/>
      </c>
      <c r="X145" s="237" t="str">
        <f t="shared" si="35"/>
        <v/>
      </c>
      <c r="Y145" s="238" t="str">
        <f t="shared" si="36"/>
        <v/>
      </c>
      <c r="AA145" s="298">
        <f t="shared" si="43"/>
        <v>0</v>
      </c>
      <c r="AB145" s="298">
        <f t="shared" si="40"/>
        <v>0</v>
      </c>
      <c r="AC145" s="284"/>
      <c r="AE145" s="299" t="str">
        <f t="shared" si="28"/>
        <v/>
      </c>
      <c r="AF145" s="334">
        <f t="shared" si="29"/>
        <v>0</v>
      </c>
    </row>
    <row r="146" spans="1:32" ht="15" customHeight="1" thickTop="1" x14ac:dyDescent="0.25">
      <c r="A146" s="575"/>
      <c r="B146" s="563" t="str">
        <f>CONCATENATE("Ramal 11 - Derivando no ponto ",C146)</f>
        <v xml:space="preserve">Ramal 11 - Derivando no ponto </v>
      </c>
      <c r="C146" s="431"/>
      <c r="D146" s="436"/>
      <c r="E146" s="440"/>
      <c r="F146" s="239" t="str">
        <f t="shared" si="30"/>
        <v/>
      </c>
      <c r="G146" s="453"/>
      <c r="H146" s="240" t="str">
        <f>IF(AND(E146="",G146=""),"",SUM(F146:G155))</f>
        <v/>
      </c>
      <c r="I146" s="241"/>
      <c r="J146" s="262"/>
      <c r="K146" s="262"/>
      <c r="L146" s="242" t="str">
        <f>IF(J146="Duplex",VLOOKUP(M146,'Características dos Cabos MX'!$C$12:$I$14,7),(IF(J146="Triplex",VLOOKUP(M146,'Características dos Cabos MX'!$C$15:$J$20,8),(IF(J146="Quadruplex",VLOOKUP(M146,'Características dos Cabos MX'!$C$21:$K$27,9),(IF(J146="13",VLOOKUP(M146,'Características dos Cabos MX'!$C$15:$L$20,10),"")))))))</f>
        <v/>
      </c>
      <c r="M146" s="413" t="str">
        <f t="shared" si="25"/>
        <v/>
      </c>
      <c r="N146" s="446"/>
      <c r="O146" s="243" t="str">
        <f t="shared" si="42"/>
        <v/>
      </c>
      <c r="P146" s="244" t="str">
        <f>IF(O146="","",O146+VLOOKUP(C146,$D$20:$Q$146,13,FALSE))</f>
        <v/>
      </c>
      <c r="Q146" s="244" t="str">
        <f t="shared" si="26"/>
        <v/>
      </c>
      <c r="R146" s="245" t="str">
        <f>IF(J146="Duplex",VLOOKUP(M146,'Características dos Cabos MX'!$C$12:$I$14,5),(IF(J146="Triplex",VLOOKUP(M146,'Características dos Cabos MX'!$C$15:$J$20,5),(IF(J146="Quadruplex",VLOOKUP(M146,'Características dos Cabos MX'!$C$21:$K$27,5),(IF(J146="13",VLOOKUP(M146,'Características dos Cabos MX'!$C$15:$L$20,5),"")))))))</f>
        <v/>
      </c>
      <c r="S146" s="245" t="str">
        <f>IF(J146="Duplex",VLOOKUP(M146,'Características dos Cabos MX'!$C$12:$I$14,6),(IF(J146="Triplex",VLOOKUP(M146,'Características dos Cabos MX'!$C$15:$J$20,6),(IF(J146="Quadruplex",VLOOKUP(M146,'Características dos Cabos MX'!$C$21:$K$27,6),(IF(J146="13",VLOOKUP(M146,'Características dos Cabos MX'!$C$15:$L$20,6),"")))))))</f>
        <v/>
      </c>
      <c r="T146" s="246" t="str">
        <f t="shared" si="33"/>
        <v/>
      </c>
      <c r="U146" s="247" t="str">
        <f>IF(J146="Duplex",VLOOKUP(M146,'Características dos Cabos MX'!$C$12:$I$14,2),(IF(J146="Triplex",VLOOKUP(M146,'Características dos Cabos MX'!$C$15:$J$20,2),(IF(J146="Quadruplex",VLOOKUP(M146,'Características dos Cabos MX'!$C$21:$K$27,2),(IF(J146="13",VLOOKUP(M146,'Características dos Cabos MX'!$C$15:$L$20,2),"")))))))</f>
        <v/>
      </c>
      <c r="V146" s="245" t="str">
        <f>IF(J146="Duplex",VLOOKUP(M146,'Características dos Cabos MX'!$C$12:$I$14,3),(IF(J146="Triplex",VLOOKUP(M146,'Características dos Cabos MX'!$C$15:$J$20,3),(IF(J146="Quadruplex",VLOOKUP(M146,'Características dos Cabos MX'!$C$21:$K$27,3),(IF(J146="13",VLOOKUP(M146,'Características dos Cabos MX'!$C$15:$L$20,3),"")))))))</f>
        <v/>
      </c>
      <c r="W146" s="248" t="str">
        <f t="shared" si="34"/>
        <v/>
      </c>
      <c r="X146" s="248" t="str">
        <f t="shared" si="35"/>
        <v/>
      </c>
      <c r="Y146" s="249" t="str">
        <f t="shared" si="36"/>
        <v/>
      </c>
      <c r="Z146" s="121" t="str">
        <f>IF(O146="","",O146+VLOOKUP(C146,$D$20:$P$44,13,FALSE))</f>
        <v/>
      </c>
      <c r="AA146" s="298">
        <f t="shared" si="43"/>
        <v>0</v>
      </c>
      <c r="AB146" s="298">
        <f t="shared" ref="AB146:AB155" si="44">K146</f>
        <v>0</v>
      </c>
      <c r="AC146" s="284"/>
      <c r="AE146" s="299" t="str">
        <f t="shared" si="28"/>
        <v/>
      </c>
      <c r="AF146" s="334">
        <f t="shared" si="29"/>
        <v>0</v>
      </c>
    </row>
    <row r="147" spans="1:32" ht="15" customHeight="1" x14ac:dyDescent="0.25">
      <c r="A147" s="575"/>
      <c r="B147" s="564"/>
      <c r="C147" s="432"/>
      <c r="D147" s="433"/>
      <c r="E147" s="438"/>
      <c r="F147" s="216" t="str">
        <f t="shared" si="30"/>
        <v/>
      </c>
      <c r="G147" s="451"/>
      <c r="H147" s="217" t="str">
        <f>IF(AND(E147="",G147=""),"",SUM(F147:G155))</f>
        <v/>
      </c>
      <c r="I147" s="218"/>
      <c r="J147" s="259"/>
      <c r="K147" s="259"/>
      <c r="L147" s="226" t="str">
        <f>IF(J147="Duplex",VLOOKUP(M147,'Características dos Cabos MX'!$C$12:$I$14,7),(IF(J147="Triplex",VLOOKUP(M147,'Características dos Cabos MX'!$C$15:$J$20,8),(IF(J147="Quadruplex",VLOOKUP(M147,'Características dos Cabos MX'!$C$21:$K$27,9),(IF(J147="13",VLOOKUP(M147,'Características dos Cabos MX'!$C$15:$L$20,10),"")))))))</f>
        <v/>
      </c>
      <c r="M147" s="410" t="str">
        <f t="shared" si="25"/>
        <v/>
      </c>
      <c r="N147" s="444"/>
      <c r="O147" s="219" t="str">
        <f t="shared" si="42"/>
        <v/>
      </c>
      <c r="P147" s="220" t="str">
        <f t="shared" ref="P147:P155" si="45">IF(O147="","",P146+O147)</f>
        <v/>
      </c>
      <c r="Q147" s="220" t="str">
        <f t="shared" si="26"/>
        <v/>
      </c>
      <c r="R147" s="221" t="str">
        <f>IF(J147="Duplex",VLOOKUP(M147,'Características dos Cabos MX'!$C$12:$I$14,5),(IF(J147="Triplex",VLOOKUP(M147,'Características dos Cabos MX'!$C$15:$J$20,5),(IF(J147="Quadruplex",VLOOKUP(M147,'Características dos Cabos MX'!$C$21:$K$27,5),(IF(J147="13",VLOOKUP(M147,'Características dos Cabos MX'!$C$15:$L$20,5),"")))))))</f>
        <v/>
      </c>
      <c r="S147" s="221" t="str">
        <f>IF(J147="Duplex",VLOOKUP(M147,'Características dos Cabos MX'!$C$12:$I$14,6),(IF(J147="Triplex",VLOOKUP(M147,'Características dos Cabos MX'!$C$15:$J$20,6),(IF(J147="Quadruplex",VLOOKUP(M147,'Características dos Cabos MX'!$C$21:$K$27,6),(IF(J147="13",VLOOKUP(M147,'Características dos Cabos MX'!$C$15:$L$20,6),"")))))))</f>
        <v/>
      </c>
      <c r="T147" s="222" t="str">
        <f t="shared" si="33"/>
        <v/>
      </c>
      <c r="U147" s="223" t="str">
        <f>IF(J147="Duplex",VLOOKUP(M147,'Características dos Cabos MX'!$C$12:$I$14,2),(IF(J147="Triplex",VLOOKUP(M147,'Características dos Cabos MX'!$C$15:$J$20,2),(IF(J147="Quadruplex",VLOOKUP(M147,'Características dos Cabos MX'!$C$21:$K$27,2),(IF(J147="13",VLOOKUP(M147,'Características dos Cabos MX'!$C$15:$L$20,2),"")))))))</f>
        <v/>
      </c>
      <c r="V147" s="221" t="str">
        <f>IF(J147="Duplex",VLOOKUP(M147,'Características dos Cabos MX'!$C$12:$I$14,3),(IF(J147="Triplex",VLOOKUP(M147,'Características dos Cabos MX'!$C$15:$J$20,3),(IF(J147="Quadruplex",VLOOKUP(M147,'Características dos Cabos MX'!$C$21:$K$27,3),(IF(J147="13",VLOOKUP(M147,'Características dos Cabos MX'!$C$15:$L$20,3),"")))))))</f>
        <v/>
      </c>
      <c r="W147" s="224" t="str">
        <f t="shared" si="34"/>
        <v/>
      </c>
      <c r="X147" s="224" t="str">
        <f t="shared" si="35"/>
        <v/>
      </c>
      <c r="Y147" s="225" t="str">
        <f t="shared" si="36"/>
        <v/>
      </c>
      <c r="AA147" s="298">
        <f t="shared" si="43"/>
        <v>0</v>
      </c>
      <c r="AB147" s="298">
        <f t="shared" si="44"/>
        <v>0</v>
      </c>
      <c r="AC147" s="284"/>
      <c r="AE147" s="299" t="str">
        <f t="shared" si="28"/>
        <v/>
      </c>
      <c r="AF147" s="334">
        <f t="shared" si="29"/>
        <v>0</v>
      </c>
    </row>
    <row r="148" spans="1:32" ht="15" customHeight="1" x14ac:dyDescent="0.25">
      <c r="A148" s="575"/>
      <c r="B148" s="564"/>
      <c r="C148" s="432"/>
      <c r="D148" s="433"/>
      <c r="E148" s="438"/>
      <c r="F148" s="216" t="str">
        <f t="shared" si="30"/>
        <v/>
      </c>
      <c r="G148" s="451"/>
      <c r="H148" s="217" t="str">
        <f>IF(AND(E148="",G148=""),"",SUM(F148:G155))</f>
        <v/>
      </c>
      <c r="I148" s="218"/>
      <c r="J148" s="259"/>
      <c r="K148" s="259"/>
      <c r="L148" s="226" t="str">
        <f>IF(J148="Duplex",VLOOKUP(M148,'Características dos Cabos MX'!$C$12:$I$14,7),(IF(J148="Triplex",VLOOKUP(M148,'Características dos Cabos MX'!$C$15:$J$20,8),(IF(J148="Quadruplex",VLOOKUP(M148,'Características dos Cabos MX'!$C$21:$K$27,9),(IF(J148="13",VLOOKUP(M148,'Características dos Cabos MX'!$C$15:$L$20,10),"")))))))</f>
        <v/>
      </c>
      <c r="M148" s="410" t="str">
        <f t="shared" si="25"/>
        <v/>
      </c>
      <c r="N148" s="444"/>
      <c r="O148" s="219" t="str">
        <f t="shared" si="42"/>
        <v/>
      </c>
      <c r="P148" s="220" t="str">
        <f t="shared" si="45"/>
        <v/>
      </c>
      <c r="Q148" s="220" t="str">
        <f t="shared" si="26"/>
        <v/>
      </c>
      <c r="R148" s="221" t="str">
        <f>IF(J148="Duplex",VLOOKUP(M148,'Características dos Cabos MX'!$C$12:$I$14,5),(IF(J148="Triplex",VLOOKUP(M148,'Características dos Cabos MX'!$C$15:$J$20,5),(IF(J148="Quadruplex",VLOOKUP(M148,'Características dos Cabos MX'!$C$21:$K$27,5),(IF(J148="13",VLOOKUP(M148,'Características dos Cabos MX'!$C$15:$L$20,5),"")))))))</f>
        <v/>
      </c>
      <c r="S148" s="221" t="str">
        <f>IF(J148="Duplex",VLOOKUP(M148,'Características dos Cabos MX'!$C$12:$I$14,6),(IF(J148="Triplex",VLOOKUP(M148,'Características dos Cabos MX'!$C$15:$J$20,6),(IF(J148="Quadruplex",VLOOKUP(M148,'Características dos Cabos MX'!$C$21:$K$27,6),(IF(J148="13",VLOOKUP(M148,'Características dos Cabos MX'!$C$15:$L$20,6),"")))))))</f>
        <v/>
      </c>
      <c r="T148" s="222" t="str">
        <f t="shared" si="33"/>
        <v/>
      </c>
      <c r="U148" s="223" t="str">
        <f>IF(J148="Duplex",VLOOKUP(M148,'Características dos Cabos MX'!$C$12:$I$14,2),(IF(J148="Triplex",VLOOKUP(M148,'Características dos Cabos MX'!$C$15:$J$20,2),(IF(J148="Quadruplex",VLOOKUP(M148,'Características dos Cabos MX'!$C$21:$K$27,2),(IF(J148="13",VLOOKUP(M148,'Características dos Cabos MX'!$C$15:$L$20,2),"")))))))</f>
        <v/>
      </c>
      <c r="V148" s="221" t="str">
        <f>IF(J148="Duplex",VLOOKUP(M148,'Características dos Cabos MX'!$C$12:$I$14,3),(IF(J148="Triplex",VLOOKUP(M148,'Características dos Cabos MX'!$C$15:$J$20,3),(IF(J148="Quadruplex",VLOOKUP(M148,'Características dos Cabos MX'!$C$21:$K$27,3),(IF(J148="13",VLOOKUP(M148,'Características dos Cabos MX'!$C$15:$L$20,3),"")))))))</f>
        <v/>
      </c>
      <c r="W148" s="224" t="str">
        <f t="shared" si="34"/>
        <v/>
      </c>
      <c r="X148" s="224" t="str">
        <f t="shared" si="35"/>
        <v/>
      </c>
      <c r="Y148" s="225" t="str">
        <f t="shared" si="36"/>
        <v/>
      </c>
      <c r="AA148" s="298">
        <f t="shared" si="43"/>
        <v>0</v>
      </c>
      <c r="AB148" s="298">
        <f t="shared" si="44"/>
        <v>0</v>
      </c>
      <c r="AC148" s="284"/>
      <c r="AE148" s="299" t="str">
        <f t="shared" si="28"/>
        <v/>
      </c>
      <c r="AF148" s="334">
        <f t="shared" si="29"/>
        <v>0</v>
      </c>
    </row>
    <row r="149" spans="1:32" ht="15" customHeight="1" x14ac:dyDescent="0.25">
      <c r="A149" s="575"/>
      <c r="B149" s="564"/>
      <c r="C149" s="432"/>
      <c r="D149" s="433"/>
      <c r="E149" s="438"/>
      <c r="F149" s="216" t="str">
        <f t="shared" si="30"/>
        <v/>
      </c>
      <c r="G149" s="451"/>
      <c r="H149" s="217" t="str">
        <f>IF(AND(E149="",G149=""),"",SUM(F149:G155))</f>
        <v/>
      </c>
      <c r="I149" s="218"/>
      <c r="J149" s="259"/>
      <c r="K149" s="259"/>
      <c r="L149" s="226" t="str">
        <f>IF(J149="Duplex",VLOOKUP(M149,'Características dos Cabos MX'!$C$12:$I$14,7),(IF(J149="Triplex",VLOOKUP(M149,'Características dos Cabos MX'!$C$15:$J$20,8),(IF(J149="Quadruplex",VLOOKUP(M149,'Características dos Cabos MX'!$C$21:$K$27,9),(IF(J149="13",VLOOKUP(M149,'Características dos Cabos MX'!$C$15:$L$20,10),"")))))))</f>
        <v/>
      </c>
      <c r="M149" s="410" t="str">
        <f t="shared" si="25"/>
        <v/>
      </c>
      <c r="N149" s="444"/>
      <c r="O149" s="219" t="str">
        <f t="shared" si="42"/>
        <v/>
      </c>
      <c r="P149" s="220" t="str">
        <f t="shared" si="45"/>
        <v/>
      </c>
      <c r="Q149" s="220" t="str">
        <f t="shared" si="26"/>
        <v/>
      </c>
      <c r="R149" s="221" t="str">
        <f>IF(J149="Duplex",VLOOKUP(M149,'Características dos Cabos MX'!$C$12:$I$14,5),(IF(J149="Triplex",VLOOKUP(M149,'Características dos Cabos MX'!$C$15:$J$20,5),(IF(J149="Quadruplex",VLOOKUP(M149,'Características dos Cabos MX'!$C$21:$K$27,5),(IF(J149="13",VLOOKUP(M149,'Características dos Cabos MX'!$C$15:$L$20,5),"")))))))</f>
        <v/>
      </c>
      <c r="S149" s="221" t="str">
        <f>IF(J149="Duplex",VLOOKUP(M149,'Características dos Cabos MX'!$C$12:$I$14,6),(IF(J149="Triplex",VLOOKUP(M149,'Características dos Cabos MX'!$C$15:$J$20,6),(IF(J149="Quadruplex",VLOOKUP(M149,'Características dos Cabos MX'!$C$21:$K$27,6),(IF(J149="13",VLOOKUP(M149,'Características dos Cabos MX'!$C$15:$L$20,6),"")))))))</f>
        <v/>
      </c>
      <c r="T149" s="222" t="str">
        <f t="shared" si="33"/>
        <v/>
      </c>
      <c r="U149" s="223" t="str">
        <f>IF(J149="Duplex",VLOOKUP(M149,'Características dos Cabos MX'!$C$12:$I$14,2),(IF(J149="Triplex",VLOOKUP(M149,'Características dos Cabos MX'!$C$15:$J$20,2),(IF(J149="Quadruplex",VLOOKUP(M149,'Características dos Cabos MX'!$C$21:$K$27,2),(IF(J149="13",VLOOKUP(M149,'Características dos Cabos MX'!$C$15:$L$20,2),"")))))))</f>
        <v/>
      </c>
      <c r="V149" s="221" t="str">
        <f>IF(J149="Duplex",VLOOKUP(M149,'Características dos Cabos MX'!$C$12:$I$14,3),(IF(J149="Triplex",VLOOKUP(M149,'Características dos Cabos MX'!$C$15:$J$20,3),(IF(J149="Quadruplex",VLOOKUP(M149,'Características dos Cabos MX'!$C$21:$K$27,3),(IF(J149="13",VLOOKUP(M149,'Características dos Cabos MX'!$C$15:$L$20,3),"")))))))</f>
        <v/>
      </c>
      <c r="W149" s="224" t="str">
        <f t="shared" si="34"/>
        <v/>
      </c>
      <c r="X149" s="224" t="str">
        <f t="shared" si="35"/>
        <v/>
      </c>
      <c r="Y149" s="225" t="str">
        <f t="shared" si="36"/>
        <v/>
      </c>
      <c r="AA149" s="298">
        <f t="shared" si="43"/>
        <v>0</v>
      </c>
      <c r="AB149" s="298">
        <f t="shared" si="44"/>
        <v>0</v>
      </c>
      <c r="AC149" s="284"/>
      <c r="AE149" s="299" t="str">
        <f t="shared" si="28"/>
        <v/>
      </c>
      <c r="AF149" s="334">
        <f t="shared" si="29"/>
        <v>0</v>
      </c>
    </row>
    <row r="150" spans="1:32" ht="15" customHeight="1" x14ac:dyDescent="0.25">
      <c r="A150" s="575"/>
      <c r="B150" s="564"/>
      <c r="C150" s="432"/>
      <c r="D150" s="433"/>
      <c r="E150" s="438"/>
      <c r="F150" s="216" t="str">
        <f t="shared" si="30"/>
        <v/>
      </c>
      <c r="G150" s="451"/>
      <c r="H150" s="217" t="str">
        <f>IF(AND(E150="",G150=""),"",SUM(F150:G155))</f>
        <v/>
      </c>
      <c r="I150" s="218"/>
      <c r="J150" s="259"/>
      <c r="K150" s="259"/>
      <c r="L150" s="226" t="str">
        <f>IF(J150="Duplex",VLOOKUP(M150,'Características dos Cabos MX'!$C$12:$I$14,7),(IF(J150="Triplex",VLOOKUP(M150,'Características dos Cabos MX'!$C$15:$J$20,8),(IF(J150="Quadruplex",VLOOKUP(M150,'Características dos Cabos MX'!$C$21:$K$27,9),(IF(J150="13",VLOOKUP(M150,'Características dos Cabos MX'!$C$15:$L$20,10),"")))))))</f>
        <v/>
      </c>
      <c r="M150" s="410" t="str">
        <f t="shared" si="25"/>
        <v/>
      </c>
      <c r="N150" s="444"/>
      <c r="O150" s="219" t="str">
        <f t="shared" si="42"/>
        <v/>
      </c>
      <c r="P150" s="220" t="str">
        <f t="shared" si="45"/>
        <v/>
      </c>
      <c r="Q150" s="220" t="str">
        <f t="shared" si="26"/>
        <v/>
      </c>
      <c r="R150" s="221" t="str">
        <f>IF(J150="Duplex",VLOOKUP(M150,'Características dos Cabos MX'!$C$12:$I$14,5),(IF(J150="Triplex",VLOOKUP(M150,'Características dos Cabos MX'!$C$15:$J$20,5),(IF(J150="Quadruplex",VLOOKUP(M150,'Características dos Cabos MX'!$C$21:$K$27,5),(IF(J150="13",VLOOKUP(M150,'Características dos Cabos MX'!$C$15:$L$20,5),"")))))))</f>
        <v/>
      </c>
      <c r="S150" s="221" t="str">
        <f>IF(J150="Duplex",VLOOKUP(M150,'Características dos Cabos MX'!$C$12:$I$14,6),(IF(J150="Triplex",VLOOKUP(M150,'Características dos Cabos MX'!$C$15:$J$20,6),(IF(J150="Quadruplex",VLOOKUP(M150,'Características dos Cabos MX'!$C$21:$K$27,6),(IF(J150="13",VLOOKUP(M150,'Características dos Cabos MX'!$C$15:$L$20,6),"")))))))</f>
        <v/>
      </c>
      <c r="T150" s="222" t="str">
        <f t="shared" si="33"/>
        <v/>
      </c>
      <c r="U150" s="223" t="str">
        <f>IF(J150="Duplex",VLOOKUP(M150,'Características dos Cabos MX'!$C$12:$I$14,2),(IF(J150="Triplex",VLOOKUP(M150,'Características dos Cabos MX'!$C$15:$J$20,2),(IF(J150="Quadruplex",VLOOKUP(M150,'Características dos Cabos MX'!$C$21:$K$27,2),(IF(J150="13",VLOOKUP(M150,'Características dos Cabos MX'!$C$15:$L$20,2),"")))))))</f>
        <v/>
      </c>
      <c r="V150" s="221" t="str">
        <f>IF(J150="Duplex",VLOOKUP(M150,'Características dos Cabos MX'!$C$12:$I$14,3),(IF(J150="Triplex",VLOOKUP(M150,'Características dos Cabos MX'!$C$15:$J$20,3),(IF(J150="Quadruplex",VLOOKUP(M150,'Características dos Cabos MX'!$C$21:$K$27,3),(IF(J150="13",VLOOKUP(M150,'Características dos Cabos MX'!$C$15:$L$20,3),"")))))))</f>
        <v/>
      </c>
      <c r="W150" s="224" t="str">
        <f t="shared" si="34"/>
        <v/>
      </c>
      <c r="X150" s="224" t="str">
        <f t="shared" si="35"/>
        <v/>
      </c>
      <c r="Y150" s="225" t="str">
        <f t="shared" si="36"/>
        <v/>
      </c>
      <c r="AA150" s="298">
        <f t="shared" si="43"/>
        <v>0</v>
      </c>
      <c r="AB150" s="298">
        <f t="shared" si="44"/>
        <v>0</v>
      </c>
      <c r="AC150" s="284"/>
      <c r="AE150" s="299" t="str">
        <f t="shared" si="28"/>
        <v/>
      </c>
      <c r="AF150" s="334">
        <f t="shared" si="29"/>
        <v>0</v>
      </c>
    </row>
    <row r="151" spans="1:32" ht="15" customHeight="1" x14ac:dyDescent="0.25">
      <c r="A151" s="575"/>
      <c r="B151" s="564"/>
      <c r="C151" s="432"/>
      <c r="D151" s="433"/>
      <c r="E151" s="438"/>
      <c r="F151" s="216" t="str">
        <f t="shared" si="30"/>
        <v/>
      </c>
      <c r="G151" s="451"/>
      <c r="H151" s="217" t="str">
        <f>IF(AND(E151="",G151=""),"",SUM(F151:G155))</f>
        <v/>
      </c>
      <c r="I151" s="218"/>
      <c r="J151" s="259"/>
      <c r="K151" s="259"/>
      <c r="L151" s="226" t="str">
        <f>IF(J151="Duplex",VLOOKUP(M151,'Características dos Cabos MX'!$C$12:$I$14,7),(IF(J151="Triplex",VLOOKUP(M151,'Características dos Cabos MX'!$C$15:$J$20,8),(IF(J151="Quadruplex",VLOOKUP(M151,'Características dos Cabos MX'!$C$21:$K$27,9),(IF(J151="13",VLOOKUP(M151,'Características dos Cabos MX'!$C$15:$L$20,10),"")))))))</f>
        <v/>
      </c>
      <c r="M151" s="410" t="str">
        <f t="shared" ref="M151:M195" si="46">IF(K151=10,"a",IF(K151=16,"b",IF(K151=25,"c",IF(K151=35,"d",IF(K151=50,"e",(IF(K151=70,"f",(IF(K151=120,"g","")))))))))</f>
        <v/>
      </c>
      <c r="N151" s="444"/>
      <c r="O151" s="219" t="str">
        <f t="shared" si="42"/>
        <v/>
      </c>
      <c r="P151" s="220" t="str">
        <f t="shared" si="45"/>
        <v/>
      </c>
      <c r="Q151" s="220" t="str">
        <f t="shared" ref="Q151:Q195" si="47">IF(H151="","",IF(J151="Quadruplex",H151*1000/($D$13*SQRT(3)),IF(J151="Triplex",H151*1000*SQRT(3)/($D$13*2),IF(J151="Duplex",H151*1000*SQRT(3)/$D$13,IF(J151="13",H151*1000/$D$15,IF(J151="12",H151*1000*2/$D$15,"erro"))))))</f>
        <v/>
      </c>
      <c r="R151" s="221" t="str">
        <f>IF(J151="Duplex",VLOOKUP(M151,'Características dos Cabos MX'!$C$12:$I$14,5),(IF(J151="Triplex",VLOOKUP(M151,'Características dos Cabos MX'!$C$15:$J$20,5),(IF(J151="Quadruplex",VLOOKUP(M151,'Características dos Cabos MX'!$C$21:$K$27,5),(IF(J151="13",VLOOKUP(M151,'Características dos Cabos MX'!$C$15:$L$20,5),"")))))))</f>
        <v/>
      </c>
      <c r="S151" s="221" t="str">
        <f>IF(J151="Duplex",VLOOKUP(M151,'Características dos Cabos MX'!$C$12:$I$14,6),(IF(J151="Triplex",VLOOKUP(M151,'Características dos Cabos MX'!$C$15:$J$20,6),(IF(J151="Quadruplex",VLOOKUP(M151,'Características dos Cabos MX'!$C$21:$K$27,6),(IF(J151="13",VLOOKUP(M151,'Características dos Cabos MX'!$C$15:$L$20,6),"")))))))</f>
        <v/>
      </c>
      <c r="T151" s="222" t="str">
        <f t="shared" si="33"/>
        <v/>
      </c>
      <c r="U151" s="223" t="str">
        <f>IF(J151="Duplex",VLOOKUP(M151,'Características dos Cabos MX'!$C$12:$I$14,2),(IF(J151="Triplex",VLOOKUP(M151,'Características dos Cabos MX'!$C$15:$J$20,2),(IF(J151="Quadruplex",VLOOKUP(M151,'Características dos Cabos MX'!$C$21:$K$27,2),(IF(J151="13",VLOOKUP(M151,'Características dos Cabos MX'!$C$15:$L$20,2),"")))))))</f>
        <v/>
      </c>
      <c r="V151" s="221" t="str">
        <f>IF(J151="Duplex",VLOOKUP(M151,'Características dos Cabos MX'!$C$12:$I$14,3),(IF(J151="Triplex",VLOOKUP(M151,'Características dos Cabos MX'!$C$15:$J$20,3),(IF(J151="Quadruplex",VLOOKUP(M151,'Características dos Cabos MX'!$C$21:$K$27,3),(IF(J151="13",VLOOKUP(M151,'Características dos Cabos MX'!$C$15:$L$20,3),"")))))))</f>
        <v/>
      </c>
      <c r="W151" s="224" t="str">
        <f t="shared" si="34"/>
        <v/>
      </c>
      <c r="X151" s="224" t="str">
        <f t="shared" si="35"/>
        <v/>
      </c>
      <c r="Y151" s="225" t="str">
        <f t="shared" si="36"/>
        <v/>
      </c>
      <c r="AA151" s="298">
        <f t="shared" si="43"/>
        <v>0</v>
      </c>
      <c r="AB151" s="298">
        <f t="shared" si="44"/>
        <v>0</v>
      </c>
      <c r="AC151" s="284"/>
      <c r="AE151" s="299" t="str">
        <f t="shared" si="28"/>
        <v/>
      </c>
      <c r="AF151" s="334">
        <f t="shared" si="29"/>
        <v>0</v>
      </c>
    </row>
    <row r="152" spans="1:32" ht="15" customHeight="1" x14ac:dyDescent="0.25">
      <c r="A152" s="575"/>
      <c r="B152" s="564"/>
      <c r="C152" s="432"/>
      <c r="D152" s="433"/>
      <c r="E152" s="438"/>
      <c r="F152" s="216" t="str">
        <f t="shared" si="30"/>
        <v/>
      </c>
      <c r="G152" s="451"/>
      <c r="H152" s="217" t="str">
        <f>IF(AND(E152="",G152=""),"",SUM(F152:G155))</f>
        <v/>
      </c>
      <c r="I152" s="218"/>
      <c r="J152" s="259"/>
      <c r="K152" s="259"/>
      <c r="L152" s="226" t="str">
        <f>IF(J152="Duplex",VLOOKUP(M152,'Características dos Cabos MX'!$C$12:$I$14,7),(IF(J152="Triplex",VLOOKUP(M152,'Características dos Cabos MX'!$C$15:$J$20,8),(IF(J152="Quadruplex",VLOOKUP(M152,'Características dos Cabos MX'!$C$21:$K$27,9),(IF(J152="13",VLOOKUP(M152,'Características dos Cabos MX'!$C$15:$L$20,10),"")))))))</f>
        <v/>
      </c>
      <c r="M152" s="410" t="str">
        <f t="shared" si="46"/>
        <v/>
      </c>
      <c r="N152" s="444"/>
      <c r="O152" s="219" t="str">
        <f t="shared" si="42"/>
        <v/>
      </c>
      <c r="P152" s="220" t="str">
        <f t="shared" si="45"/>
        <v/>
      </c>
      <c r="Q152" s="220" t="str">
        <f t="shared" si="47"/>
        <v/>
      </c>
      <c r="R152" s="221" t="str">
        <f>IF(J152="Duplex",VLOOKUP(M152,'Características dos Cabos MX'!$C$12:$I$14,5),(IF(J152="Triplex",VLOOKUP(M152,'Características dos Cabos MX'!$C$15:$J$20,5),(IF(J152="Quadruplex",VLOOKUP(M152,'Características dos Cabos MX'!$C$21:$K$27,5),(IF(J152="13",VLOOKUP(M152,'Características dos Cabos MX'!$C$15:$L$20,5),"")))))))</f>
        <v/>
      </c>
      <c r="S152" s="221" t="str">
        <f>IF(J152="Duplex",VLOOKUP(M152,'Características dos Cabos MX'!$C$12:$I$14,6),(IF(J152="Triplex",VLOOKUP(M152,'Características dos Cabos MX'!$C$15:$J$20,6),(IF(J152="Quadruplex",VLOOKUP(M152,'Características dos Cabos MX'!$C$21:$K$27,6),(IF(J152="13",VLOOKUP(M152,'Características dos Cabos MX'!$C$15:$L$20,6),"")))))))</f>
        <v/>
      </c>
      <c r="T152" s="222" t="str">
        <f t="shared" si="33"/>
        <v/>
      </c>
      <c r="U152" s="223" t="str">
        <f>IF(J152="Duplex",VLOOKUP(M152,'Características dos Cabos MX'!$C$12:$I$14,2),(IF(J152="Triplex",VLOOKUP(M152,'Características dos Cabos MX'!$C$15:$J$20,2),(IF(J152="Quadruplex",VLOOKUP(M152,'Características dos Cabos MX'!$C$21:$K$27,2),(IF(J152="13",VLOOKUP(M152,'Características dos Cabos MX'!$C$15:$L$20,2),"")))))))</f>
        <v/>
      </c>
      <c r="V152" s="221" t="str">
        <f>IF(J152="Duplex",VLOOKUP(M152,'Características dos Cabos MX'!$C$12:$I$14,3),(IF(J152="Triplex",VLOOKUP(M152,'Características dos Cabos MX'!$C$15:$J$20,3),(IF(J152="Quadruplex",VLOOKUP(M152,'Características dos Cabos MX'!$C$21:$K$27,3),(IF(J152="13",VLOOKUP(M152,'Características dos Cabos MX'!$C$15:$L$20,3),"")))))))</f>
        <v/>
      </c>
      <c r="W152" s="224" t="str">
        <f t="shared" si="34"/>
        <v/>
      </c>
      <c r="X152" s="224" t="str">
        <f t="shared" si="35"/>
        <v/>
      </c>
      <c r="Y152" s="225" t="str">
        <f t="shared" si="36"/>
        <v/>
      </c>
      <c r="AA152" s="298">
        <f t="shared" si="43"/>
        <v>0</v>
      </c>
      <c r="AB152" s="298">
        <f t="shared" si="44"/>
        <v>0</v>
      </c>
      <c r="AC152" s="284"/>
      <c r="AE152" s="299" t="str">
        <f t="shared" si="28"/>
        <v/>
      </c>
      <c r="AF152" s="334">
        <f t="shared" si="29"/>
        <v>0</v>
      </c>
    </row>
    <row r="153" spans="1:32" ht="15" customHeight="1" x14ac:dyDescent="0.25">
      <c r="A153" s="575"/>
      <c r="B153" s="564"/>
      <c r="C153" s="432"/>
      <c r="D153" s="433"/>
      <c r="E153" s="438"/>
      <c r="F153" s="216" t="str">
        <f t="shared" si="30"/>
        <v/>
      </c>
      <c r="G153" s="451"/>
      <c r="H153" s="217" t="str">
        <f>IF(AND(E153="",G153=""),"",SUM(F153:G155))</f>
        <v/>
      </c>
      <c r="I153" s="218"/>
      <c r="J153" s="259"/>
      <c r="K153" s="259"/>
      <c r="L153" s="226" t="str">
        <f>IF(J153="Duplex",VLOOKUP(M153,'Características dos Cabos MX'!$C$12:$I$14,7),(IF(J153="Triplex",VLOOKUP(M153,'Características dos Cabos MX'!$C$15:$J$20,8),(IF(J153="Quadruplex",VLOOKUP(M153,'Características dos Cabos MX'!$C$21:$K$27,9),(IF(J153="13",VLOOKUP(M153,'Características dos Cabos MX'!$C$15:$L$20,10),"")))))))</f>
        <v/>
      </c>
      <c r="M153" s="410" t="str">
        <f t="shared" si="46"/>
        <v/>
      </c>
      <c r="N153" s="444"/>
      <c r="O153" s="219" t="str">
        <f t="shared" si="42"/>
        <v/>
      </c>
      <c r="P153" s="220" t="str">
        <f t="shared" si="45"/>
        <v/>
      </c>
      <c r="Q153" s="220" t="str">
        <f t="shared" si="47"/>
        <v/>
      </c>
      <c r="R153" s="221" t="str">
        <f>IF(J153="Duplex",VLOOKUP(M153,'Características dos Cabos MX'!$C$12:$I$14,5),(IF(J153="Triplex",VLOOKUP(M153,'Características dos Cabos MX'!$C$15:$J$20,5),(IF(J153="Quadruplex",VLOOKUP(M153,'Características dos Cabos MX'!$C$21:$K$27,5),(IF(J153="13",VLOOKUP(M153,'Características dos Cabos MX'!$C$15:$L$20,5),"")))))))</f>
        <v/>
      </c>
      <c r="S153" s="221" t="str">
        <f>IF(J153="Duplex",VLOOKUP(M153,'Características dos Cabos MX'!$C$12:$I$14,6),(IF(J153="Triplex",VLOOKUP(M153,'Características dos Cabos MX'!$C$15:$J$20,6),(IF(J153="Quadruplex",VLOOKUP(M153,'Características dos Cabos MX'!$C$21:$K$27,6),(IF(J153="13",VLOOKUP(M153,'Características dos Cabos MX'!$C$15:$L$20,6),"")))))))</f>
        <v/>
      </c>
      <c r="T153" s="222" t="str">
        <f t="shared" si="33"/>
        <v/>
      </c>
      <c r="U153" s="223" t="str">
        <f>IF(J153="Duplex",VLOOKUP(M153,'Características dos Cabos MX'!$C$12:$I$14,2),(IF(J153="Triplex",VLOOKUP(M153,'Características dos Cabos MX'!$C$15:$J$20,2),(IF(J153="Quadruplex",VLOOKUP(M153,'Características dos Cabos MX'!$C$21:$K$27,2),(IF(J153="13",VLOOKUP(M153,'Características dos Cabos MX'!$C$15:$L$20,2),"")))))))</f>
        <v/>
      </c>
      <c r="V153" s="221" t="str">
        <f>IF(J153="Duplex",VLOOKUP(M153,'Características dos Cabos MX'!$C$12:$I$14,3),(IF(J153="Triplex",VLOOKUP(M153,'Características dos Cabos MX'!$C$15:$J$20,3),(IF(J153="Quadruplex",VLOOKUP(M153,'Características dos Cabos MX'!$C$21:$K$27,3),(IF(J153="13",VLOOKUP(M153,'Características dos Cabos MX'!$C$15:$L$20,3),"")))))))</f>
        <v/>
      </c>
      <c r="W153" s="224" t="str">
        <f t="shared" si="34"/>
        <v/>
      </c>
      <c r="X153" s="224" t="str">
        <f t="shared" si="35"/>
        <v/>
      </c>
      <c r="Y153" s="225" t="str">
        <f t="shared" si="36"/>
        <v/>
      </c>
      <c r="AA153" s="298">
        <f t="shared" si="43"/>
        <v>0</v>
      </c>
      <c r="AB153" s="298">
        <f t="shared" si="44"/>
        <v>0</v>
      </c>
      <c r="AC153" s="284"/>
      <c r="AE153" s="299" t="str">
        <f t="shared" si="28"/>
        <v/>
      </c>
      <c r="AF153" s="334">
        <f t="shared" si="29"/>
        <v>0</v>
      </c>
    </row>
    <row r="154" spans="1:32" ht="15" customHeight="1" x14ac:dyDescent="0.25">
      <c r="A154" s="575"/>
      <c r="B154" s="564"/>
      <c r="C154" s="432"/>
      <c r="D154" s="433"/>
      <c r="E154" s="438"/>
      <c r="F154" s="216" t="str">
        <f t="shared" si="30"/>
        <v/>
      </c>
      <c r="G154" s="451"/>
      <c r="H154" s="217" t="str">
        <f>IF(AND(E154="",G154=""),"",SUM(F154:G155))</f>
        <v/>
      </c>
      <c r="I154" s="218"/>
      <c r="J154" s="259"/>
      <c r="K154" s="259"/>
      <c r="L154" s="226" t="str">
        <f>IF(J154="Duplex",VLOOKUP(M154,'Características dos Cabos MX'!$C$12:$I$14,7),(IF(J154="Triplex",VLOOKUP(M154,'Características dos Cabos MX'!$C$15:$J$20,8),(IF(J154="Quadruplex",VLOOKUP(M154,'Características dos Cabos MX'!$C$21:$K$27,9),(IF(J154="13",VLOOKUP(M154,'Características dos Cabos MX'!$C$15:$L$20,10),"")))))))</f>
        <v/>
      </c>
      <c r="M154" s="410" t="str">
        <f t="shared" si="46"/>
        <v/>
      </c>
      <c r="N154" s="444"/>
      <c r="O154" s="219" t="str">
        <f t="shared" si="42"/>
        <v/>
      </c>
      <c r="P154" s="220" t="str">
        <f t="shared" si="45"/>
        <v/>
      </c>
      <c r="Q154" s="220" t="str">
        <f t="shared" si="47"/>
        <v/>
      </c>
      <c r="R154" s="221" t="str">
        <f>IF(J154="Duplex",VLOOKUP(M154,'Características dos Cabos MX'!$C$12:$I$14,5),(IF(J154="Triplex",VLOOKUP(M154,'Características dos Cabos MX'!$C$15:$J$20,5),(IF(J154="Quadruplex",VLOOKUP(M154,'Características dos Cabos MX'!$C$21:$K$27,5),(IF(J154="13",VLOOKUP(M154,'Características dos Cabos MX'!$C$15:$L$20,5),"")))))))</f>
        <v/>
      </c>
      <c r="S154" s="221" t="str">
        <f>IF(J154="Duplex",VLOOKUP(M154,'Características dos Cabos MX'!$C$12:$I$14,6),(IF(J154="Triplex",VLOOKUP(M154,'Características dos Cabos MX'!$C$15:$J$20,6),(IF(J154="Quadruplex",VLOOKUP(M154,'Características dos Cabos MX'!$C$21:$K$27,6),(IF(J154="13",VLOOKUP(M154,'Características dos Cabos MX'!$C$15:$L$20,6),"")))))))</f>
        <v/>
      </c>
      <c r="T154" s="222" t="str">
        <f t="shared" si="33"/>
        <v/>
      </c>
      <c r="U154" s="223" t="str">
        <f>IF(J154="Duplex",VLOOKUP(M154,'Características dos Cabos MX'!$C$12:$I$14,2),(IF(J154="Triplex",VLOOKUP(M154,'Características dos Cabos MX'!$C$15:$J$20,2),(IF(J154="Quadruplex",VLOOKUP(M154,'Características dos Cabos MX'!$C$21:$K$27,2),(IF(J154="13",VLOOKUP(M154,'Características dos Cabos MX'!$C$15:$L$20,2),"")))))))</f>
        <v/>
      </c>
      <c r="V154" s="221" t="str">
        <f>IF(J154="Duplex",VLOOKUP(M154,'Características dos Cabos MX'!$C$12:$I$14,3),(IF(J154="Triplex",VLOOKUP(M154,'Características dos Cabos MX'!$C$15:$J$20,3),(IF(J154="Quadruplex",VLOOKUP(M154,'Características dos Cabos MX'!$C$21:$K$27,3),(IF(J154="13",VLOOKUP(M154,'Características dos Cabos MX'!$C$15:$L$20,3),"")))))))</f>
        <v/>
      </c>
      <c r="W154" s="224" t="str">
        <f t="shared" si="34"/>
        <v/>
      </c>
      <c r="X154" s="224" t="str">
        <f t="shared" si="35"/>
        <v/>
      </c>
      <c r="Y154" s="225" t="str">
        <f t="shared" si="36"/>
        <v/>
      </c>
      <c r="AA154" s="298">
        <f t="shared" si="43"/>
        <v>0</v>
      </c>
      <c r="AB154" s="298">
        <f t="shared" si="44"/>
        <v>0</v>
      </c>
      <c r="AC154" s="284"/>
      <c r="AE154" s="299" t="str">
        <f t="shared" si="28"/>
        <v/>
      </c>
      <c r="AF154" s="334">
        <f t="shared" si="29"/>
        <v>0</v>
      </c>
    </row>
    <row r="155" spans="1:32" ht="15" customHeight="1" thickBot="1" x14ac:dyDescent="0.3">
      <c r="A155" s="575"/>
      <c r="B155" s="565"/>
      <c r="C155" s="434"/>
      <c r="D155" s="435"/>
      <c r="E155" s="434"/>
      <c r="F155" s="228" t="str">
        <f t="shared" si="30"/>
        <v/>
      </c>
      <c r="G155" s="452"/>
      <c r="H155" s="229" t="str">
        <f>IF(AND(E155="",G155=""),"",SUM(F155:G155))</f>
        <v/>
      </c>
      <c r="I155" s="230"/>
      <c r="J155" s="260"/>
      <c r="K155" s="260"/>
      <c r="L155" s="231" t="str">
        <f>IF(J155="Duplex",VLOOKUP(M155,'Características dos Cabos MX'!$C$12:$I$14,7),(IF(J155="Triplex",VLOOKUP(M155,'Características dos Cabos MX'!$C$15:$J$20,8),(IF(J155="Quadruplex",VLOOKUP(M155,'Características dos Cabos MX'!$C$21:$K$27,9),(IF(J155="13",VLOOKUP(M155,'Características dos Cabos MX'!$C$15:$L$20,10),"")))))))</f>
        <v/>
      </c>
      <c r="M155" s="412" t="str">
        <f t="shared" si="46"/>
        <v/>
      </c>
      <c r="N155" s="445"/>
      <c r="O155" s="232" t="str">
        <f t="shared" si="42"/>
        <v/>
      </c>
      <c r="P155" s="233" t="str">
        <f t="shared" si="45"/>
        <v/>
      </c>
      <c r="Q155" s="233" t="str">
        <f t="shared" si="47"/>
        <v/>
      </c>
      <c r="R155" s="234" t="str">
        <f>IF(J155="Duplex",VLOOKUP(M155,'Características dos Cabos MX'!$C$12:$I$14,5),(IF(J155="Triplex",VLOOKUP(M155,'Características dos Cabos MX'!$C$15:$J$20,5),(IF(J155="Quadruplex",VLOOKUP(M155,'Características dos Cabos MX'!$C$21:$K$27,5),(IF(J155="13",VLOOKUP(M155,'Características dos Cabos MX'!$C$15:$L$20,5),"")))))))</f>
        <v/>
      </c>
      <c r="S155" s="234" t="str">
        <f>IF(J155="Duplex",VLOOKUP(M155,'Características dos Cabos MX'!$C$12:$I$14,6),(IF(J155="Triplex",VLOOKUP(M155,'Características dos Cabos MX'!$C$15:$J$20,6),(IF(J155="Quadruplex",VLOOKUP(M155,'Características dos Cabos MX'!$C$21:$K$27,6),(IF(J155="13",VLOOKUP(M155,'Características dos Cabos MX'!$C$15:$L$20,6),"")))))))</f>
        <v/>
      </c>
      <c r="T155" s="235" t="str">
        <f t="shared" si="33"/>
        <v/>
      </c>
      <c r="U155" s="236" t="str">
        <f>IF(J155="Duplex",VLOOKUP(M155,'Características dos Cabos MX'!$C$12:$I$14,2),(IF(J155="Triplex",VLOOKUP(M155,'Características dos Cabos MX'!$C$15:$J$20,2),(IF(J155="Quadruplex",VLOOKUP(M155,'Características dos Cabos MX'!$C$21:$K$27,2),(IF(J155="13",VLOOKUP(M155,'Características dos Cabos MX'!$C$15:$L$20,2),"")))))))</f>
        <v/>
      </c>
      <c r="V155" s="234" t="str">
        <f>IF(J155="Duplex",VLOOKUP(M155,'Características dos Cabos MX'!$C$12:$I$14,3),(IF(J155="Triplex",VLOOKUP(M155,'Características dos Cabos MX'!$C$15:$J$20,3),(IF(J155="Quadruplex",VLOOKUP(M155,'Características dos Cabos MX'!$C$21:$K$27,3),(IF(J155="13",VLOOKUP(M155,'Características dos Cabos MX'!$C$15:$L$20,3),"")))))))</f>
        <v/>
      </c>
      <c r="W155" s="237" t="str">
        <f t="shared" si="34"/>
        <v/>
      </c>
      <c r="X155" s="237" t="str">
        <f t="shared" si="35"/>
        <v/>
      </c>
      <c r="Y155" s="238" t="str">
        <f t="shared" si="36"/>
        <v/>
      </c>
      <c r="AA155" s="298">
        <f t="shared" si="43"/>
        <v>0</v>
      </c>
      <c r="AB155" s="298">
        <f t="shared" si="44"/>
        <v>0</v>
      </c>
      <c r="AC155" s="284"/>
      <c r="AE155" s="299" t="str">
        <f t="shared" si="28"/>
        <v/>
      </c>
      <c r="AF155" s="334">
        <f t="shared" si="29"/>
        <v>0</v>
      </c>
    </row>
    <row r="156" spans="1:32" ht="15" customHeight="1" thickTop="1" x14ac:dyDescent="0.25">
      <c r="A156" s="575"/>
      <c r="B156" s="563" t="str">
        <f>CONCATENATE("Ramal 12 - Derivando no ponto ",C156)</f>
        <v xml:space="preserve">Ramal 12 - Derivando no ponto </v>
      </c>
      <c r="C156" s="431"/>
      <c r="D156" s="436"/>
      <c r="E156" s="440"/>
      <c r="F156" s="239" t="str">
        <f t="shared" si="30"/>
        <v/>
      </c>
      <c r="G156" s="453"/>
      <c r="H156" s="240" t="str">
        <f>IF(AND(E156="",G156=""),"",SUM(F156:G165))</f>
        <v/>
      </c>
      <c r="I156" s="241"/>
      <c r="J156" s="262"/>
      <c r="K156" s="262"/>
      <c r="L156" s="242" t="str">
        <f>IF(J156="Duplex",VLOOKUP(M156,'Características dos Cabos MX'!$C$12:$I$14,7),(IF(J156="Triplex",VLOOKUP(M156,'Características dos Cabos MX'!$C$15:$J$20,8),(IF(J156="Quadruplex",VLOOKUP(M156,'Características dos Cabos MX'!$C$21:$K$27,9),(IF(J156="13",VLOOKUP(M156,'Características dos Cabos MX'!$C$15:$L$20,10),"")))))))</f>
        <v/>
      </c>
      <c r="M156" s="413" t="str">
        <f t="shared" si="46"/>
        <v/>
      </c>
      <c r="N156" s="446"/>
      <c r="O156" s="243" t="str">
        <f t="shared" si="42"/>
        <v/>
      </c>
      <c r="P156" s="244" t="str">
        <f>IF(O156="","",O156+VLOOKUP(C156,$D$20:$Q$156,13,FALSE))</f>
        <v/>
      </c>
      <c r="Q156" s="244" t="str">
        <f t="shared" si="47"/>
        <v/>
      </c>
      <c r="R156" s="245" t="str">
        <f>IF(J156="Duplex",VLOOKUP(M156,'Características dos Cabos MX'!$C$12:$I$14,5),(IF(J156="Triplex",VLOOKUP(M156,'Características dos Cabos MX'!$C$15:$J$20,5),(IF(J156="Quadruplex",VLOOKUP(M156,'Características dos Cabos MX'!$C$21:$K$27,5),(IF(J156="13",VLOOKUP(M156,'Características dos Cabos MX'!$C$15:$L$20,5),"")))))))</f>
        <v/>
      </c>
      <c r="S156" s="245" t="str">
        <f>IF(J156="Duplex",VLOOKUP(M156,'Características dos Cabos MX'!$C$12:$I$14,6),(IF(J156="Triplex",VLOOKUP(M156,'Características dos Cabos MX'!$C$15:$J$20,6),(IF(J156="Quadruplex",VLOOKUP(M156,'Características dos Cabos MX'!$C$21:$K$27,6),(IF(J156="13",VLOOKUP(M156,'Características dos Cabos MX'!$C$15:$L$20,6),"")))))))</f>
        <v/>
      </c>
      <c r="T156" s="246" t="str">
        <f t="shared" si="33"/>
        <v/>
      </c>
      <c r="U156" s="247" t="str">
        <f>IF(J156="Duplex",VLOOKUP(M156,'Características dos Cabos MX'!$C$12:$I$14,2),(IF(J156="Triplex",VLOOKUP(M156,'Características dos Cabos MX'!$C$15:$J$20,2),(IF(J156="Quadruplex",VLOOKUP(M156,'Características dos Cabos MX'!$C$21:$K$27,2),(IF(J156="13",VLOOKUP(M156,'Características dos Cabos MX'!$C$15:$L$20,2),"")))))))</f>
        <v/>
      </c>
      <c r="V156" s="245" t="str">
        <f>IF(J156="Duplex",VLOOKUP(M156,'Características dos Cabos MX'!$C$12:$I$14,3),(IF(J156="Triplex",VLOOKUP(M156,'Características dos Cabos MX'!$C$15:$J$20,3),(IF(J156="Quadruplex",VLOOKUP(M156,'Características dos Cabos MX'!$C$21:$K$27,3),(IF(J156="13",VLOOKUP(M156,'Características dos Cabos MX'!$C$15:$L$20,3),"")))))))</f>
        <v/>
      </c>
      <c r="W156" s="248" t="str">
        <f t="shared" si="34"/>
        <v/>
      </c>
      <c r="X156" s="248" t="str">
        <f t="shared" si="35"/>
        <v/>
      </c>
      <c r="Y156" s="249" t="str">
        <f t="shared" si="36"/>
        <v/>
      </c>
      <c r="Z156" s="121" t="str">
        <f>IF(O156="","",O156+VLOOKUP(C156,$D$20:$P$44,13,FALSE))</f>
        <v/>
      </c>
      <c r="AA156" s="298">
        <f t="shared" si="43"/>
        <v>0</v>
      </c>
      <c r="AB156" s="298">
        <f t="shared" ref="AB156:AB165" si="48">K156</f>
        <v>0</v>
      </c>
      <c r="AC156" s="284"/>
      <c r="AE156" s="299" t="str">
        <f t="shared" si="28"/>
        <v/>
      </c>
      <c r="AF156" s="334">
        <f t="shared" si="29"/>
        <v>0</v>
      </c>
    </row>
    <row r="157" spans="1:32" ht="15" customHeight="1" x14ac:dyDescent="0.25">
      <c r="A157" s="575"/>
      <c r="B157" s="564"/>
      <c r="C157" s="432"/>
      <c r="D157" s="433"/>
      <c r="E157" s="438"/>
      <c r="F157" s="216" t="str">
        <f t="shared" si="30"/>
        <v/>
      </c>
      <c r="G157" s="451"/>
      <c r="H157" s="217" t="str">
        <f>IF(AND(E157="",G157=""),"",SUM(F157:G165))</f>
        <v/>
      </c>
      <c r="I157" s="218"/>
      <c r="J157" s="259"/>
      <c r="K157" s="259"/>
      <c r="L157" s="226" t="str">
        <f>IF(J157="Duplex",VLOOKUP(M157,'Características dos Cabos MX'!$C$12:$I$14,7),(IF(J157="Triplex",VLOOKUP(M157,'Características dos Cabos MX'!$C$15:$J$20,8),(IF(J157="Quadruplex",VLOOKUP(M157,'Características dos Cabos MX'!$C$21:$K$27,9),(IF(J157="13",VLOOKUP(M157,'Características dos Cabos MX'!$C$15:$L$20,10),"")))))))</f>
        <v/>
      </c>
      <c r="M157" s="410" t="str">
        <f t="shared" si="46"/>
        <v/>
      </c>
      <c r="N157" s="444"/>
      <c r="O157" s="219" t="str">
        <f t="shared" si="42"/>
        <v/>
      </c>
      <c r="P157" s="220" t="str">
        <f t="shared" ref="P157:P165" si="49">IF(O157="","",P156+O157)</f>
        <v/>
      </c>
      <c r="Q157" s="220" t="str">
        <f t="shared" si="47"/>
        <v/>
      </c>
      <c r="R157" s="221" t="str">
        <f>IF(J157="Duplex",VLOOKUP(M157,'Características dos Cabos MX'!$C$12:$I$14,5),(IF(J157="Triplex",VLOOKUP(M157,'Características dos Cabos MX'!$C$15:$J$20,5),(IF(J157="Quadruplex",VLOOKUP(M157,'Características dos Cabos MX'!$C$21:$K$27,5),(IF(J157="13",VLOOKUP(M157,'Características dos Cabos MX'!$C$15:$L$20,5),"")))))))</f>
        <v/>
      </c>
      <c r="S157" s="221" t="str">
        <f>IF(J157="Duplex",VLOOKUP(M157,'Características dos Cabos MX'!$C$12:$I$14,6),(IF(J157="Triplex",VLOOKUP(M157,'Características dos Cabos MX'!$C$15:$J$20,6),(IF(J157="Quadruplex",VLOOKUP(M157,'Características dos Cabos MX'!$C$21:$K$27,6),(IF(J157="13",VLOOKUP(M157,'Características dos Cabos MX'!$C$15:$L$20,6),"")))))))</f>
        <v/>
      </c>
      <c r="T157" s="222" t="str">
        <f t="shared" si="33"/>
        <v/>
      </c>
      <c r="U157" s="223" t="str">
        <f>IF(J157="Duplex",VLOOKUP(M157,'Características dos Cabos MX'!$C$12:$I$14,2),(IF(J157="Triplex",VLOOKUP(M157,'Características dos Cabos MX'!$C$15:$J$20,2),(IF(J157="Quadruplex",VLOOKUP(M157,'Características dos Cabos MX'!$C$21:$K$27,2),(IF(J157="13",VLOOKUP(M157,'Características dos Cabos MX'!$C$15:$L$20,2),"")))))))</f>
        <v/>
      </c>
      <c r="V157" s="221" t="str">
        <f>IF(J157="Duplex",VLOOKUP(M157,'Características dos Cabos MX'!$C$12:$I$14,3),(IF(J157="Triplex",VLOOKUP(M157,'Características dos Cabos MX'!$C$15:$J$20,3),(IF(J157="Quadruplex",VLOOKUP(M157,'Características dos Cabos MX'!$C$21:$K$27,3),(IF(J157="13",VLOOKUP(M157,'Características dos Cabos MX'!$C$15:$L$20,3),"")))))))</f>
        <v/>
      </c>
      <c r="W157" s="224" t="str">
        <f t="shared" si="34"/>
        <v/>
      </c>
      <c r="X157" s="224" t="str">
        <f t="shared" si="35"/>
        <v/>
      </c>
      <c r="Y157" s="225" t="str">
        <f t="shared" si="36"/>
        <v/>
      </c>
      <c r="AA157" s="298">
        <f t="shared" si="43"/>
        <v>0</v>
      </c>
      <c r="AB157" s="298">
        <f t="shared" si="48"/>
        <v>0</v>
      </c>
      <c r="AC157" s="284"/>
      <c r="AE157" s="299" t="str">
        <f t="shared" si="28"/>
        <v/>
      </c>
      <c r="AF157" s="334">
        <f t="shared" si="29"/>
        <v>0</v>
      </c>
    </row>
    <row r="158" spans="1:32" ht="15" customHeight="1" x14ac:dyDescent="0.25">
      <c r="A158" s="575"/>
      <c r="B158" s="564"/>
      <c r="C158" s="432"/>
      <c r="D158" s="433"/>
      <c r="E158" s="438"/>
      <c r="F158" s="216" t="str">
        <f t="shared" si="30"/>
        <v/>
      </c>
      <c r="G158" s="451"/>
      <c r="H158" s="217" t="str">
        <f>IF(AND(E158="",G158=""),"",SUM(F158:G165))</f>
        <v/>
      </c>
      <c r="I158" s="218"/>
      <c r="J158" s="259"/>
      <c r="K158" s="259"/>
      <c r="L158" s="226" t="str">
        <f>IF(J158="Duplex",VLOOKUP(M158,'Características dos Cabos MX'!$C$12:$I$14,7),(IF(J158="Triplex",VLOOKUP(M158,'Características dos Cabos MX'!$C$15:$J$20,8),(IF(J158="Quadruplex",VLOOKUP(M158,'Características dos Cabos MX'!$C$21:$K$27,9),(IF(J158="13",VLOOKUP(M158,'Características dos Cabos MX'!$C$15:$L$20,10),"")))))))</f>
        <v/>
      </c>
      <c r="M158" s="410" t="str">
        <f t="shared" si="46"/>
        <v/>
      </c>
      <c r="N158" s="444"/>
      <c r="O158" s="219" t="str">
        <f t="shared" si="42"/>
        <v/>
      </c>
      <c r="P158" s="220" t="str">
        <f t="shared" si="49"/>
        <v/>
      </c>
      <c r="Q158" s="220" t="str">
        <f t="shared" si="47"/>
        <v/>
      </c>
      <c r="R158" s="221" t="str">
        <f>IF(J158="Duplex",VLOOKUP(M158,'Características dos Cabos MX'!$C$12:$I$14,5),(IF(J158="Triplex",VLOOKUP(M158,'Características dos Cabos MX'!$C$15:$J$20,5),(IF(J158="Quadruplex",VLOOKUP(M158,'Características dos Cabos MX'!$C$21:$K$27,5),(IF(J158="13",VLOOKUP(M158,'Características dos Cabos MX'!$C$15:$L$20,5),"")))))))</f>
        <v/>
      </c>
      <c r="S158" s="221" t="str">
        <f>IF(J158="Duplex",VLOOKUP(M158,'Características dos Cabos MX'!$C$12:$I$14,6),(IF(J158="Triplex",VLOOKUP(M158,'Características dos Cabos MX'!$C$15:$J$20,6),(IF(J158="Quadruplex",VLOOKUP(M158,'Características dos Cabos MX'!$C$21:$K$27,6),(IF(J158="13",VLOOKUP(M158,'Características dos Cabos MX'!$C$15:$L$20,6),"")))))))</f>
        <v/>
      </c>
      <c r="T158" s="222" t="str">
        <f t="shared" si="33"/>
        <v/>
      </c>
      <c r="U158" s="223" t="str">
        <f>IF(J158="Duplex",VLOOKUP(M158,'Características dos Cabos MX'!$C$12:$I$14,2),(IF(J158="Triplex",VLOOKUP(M158,'Características dos Cabos MX'!$C$15:$J$20,2),(IF(J158="Quadruplex",VLOOKUP(M158,'Características dos Cabos MX'!$C$21:$K$27,2),(IF(J158="13",VLOOKUP(M158,'Características dos Cabos MX'!$C$15:$L$20,2),"")))))))</f>
        <v/>
      </c>
      <c r="V158" s="221" t="str">
        <f>IF(J158="Duplex",VLOOKUP(M158,'Características dos Cabos MX'!$C$12:$I$14,3),(IF(J158="Triplex",VLOOKUP(M158,'Características dos Cabos MX'!$C$15:$J$20,3),(IF(J158="Quadruplex",VLOOKUP(M158,'Características dos Cabos MX'!$C$21:$K$27,3),(IF(J158="13",VLOOKUP(M158,'Características dos Cabos MX'!$C$15:$L$20,3),"")))))))</f>
        <v/>
      </c>
      <c r="W158" s="224" t="str">
        <f t="shared" si="34"/>
        <v/>
      </c>
      <c r="X158" s="224" t="str">
        <f t="shared" si="35"/>
        <v/>
      </c>
      <c r="Y158" s="225" t="str">
        <f t="shared" si="36"/>
        <v/>
      </c>
      <c r="AA158" s="298">
        <f t="shared" si="43"/>
        <v>0</v>
      </c>
      <c r="AB158" s="298">
        <f t="shared" si="48"/>
        <v>0</v>
      </c>
      <c r="AC158" s="284"/>
      <c r="AE158" s="299" t="str">
        <f t="shared" si="28"/>
        <v/>
      </c>
      <c r="AF158" s="334">
        <f t="shared" si="29"/>
        <v>0</v>
      </c>
    </row>
    <row r="159" spans="1:32" ht="15" customHeight="1" x14ac:dyDescent="0.25">
      <c r="A159" s="575"/>
      <c r="B159" s="564"/>
      <c r="C159" s="432"/>
      <c r="D159" s="433"/>
      <c r="E159" s="438"/>
      <c r="F159" s="216" t="str">
        <f t="shared" si="30"/>
        <v/>
      </c>
      <c r="G159" s="451"/>
      <c r="H159" s="217" t="str">
        <f>IF(AND(E159="",G159=""),"",SUM(F159:G165))</f>
        <v/>
      </c>
      <c r="I159" s="218"/>
      <c r="J159" s="259"/>
      <c r="K159" s="259"/>
      <c r="L159" s="226" t="str">
        <f>IF(J159="Duplex",VLOOKUP(M159,'Características dos Cabos MX'!$C$12:$I$14,7),(IF(J159="Triplex",VLOOKUP(M159,'Características dos Cabos MX'!$C$15:$J$20,8),(IF(J159="Quadruplex",VLOOKUP(M159,'Características dos Cabos MX'!$C$21:$K$27,9),(IF(J159="13",VLOOKUP(M159,'Características dos Cabos MX'!$C$15:$L$20,10),"")))))))</f>
        <v/>
      </c>
      <c r="M159" s="410" t="str">
        <f t="shared" si="46"/>
        <v/>
      </c>
      <c r="N159" s="444"/>
      <c r="O159" s="219" t="str">
        <f t="shared" si="42"/>
        <v/>
      </c>
      <c r="P159" s="220" t="str">
        <f t="shared" si="49"/>
        <v/>
      </c>
      <c r="Q159" s="220" t="str">
        <f t="shared" si="47"/>
        <v/>
      </c>
      <c r="R159" s="221" t="str">
        <f>IF(J159="Duplex",VLOOKUP(M159,'Características dos Cabos MX'!$C$12:$I$14,5),(IF(J159="Triplex",VLOOKUP(M159,'Características dos Cabos MX'!$C$15:$J$20,5),(IF(J159="Quadruplex",VLOOKUP(M159,'Características dos Cabos MX'!$C$21:$K$27,5),(IF(J159="13",VLOOKUP(M159,'Características dos Cabos MX'!$C$15:$L$20,5),"")))))))</f>
        <v/>
      </c>
      <c r="S159" s="221" t="str">
        <f>IF(J159="Duplex",VLOOKUP(M159,'Características dos Cabos MX'!$C$12:$I$14,6),(IF(J159="Triplex",VLOOKUP(M159,'Características dos Cabos MX'!$C$15:$J$20,6),(IF(J159="Quadruplex",VLOOKUP(M159,'Características dos Cabos MX'!$C$21:$K$27,6),(IF(J159="13",VLOOKUP(M159,'Características dos Cabos MX'!$C$15:$L$20,6),"")))))))</f>
        <v/>
      </c>
      <c r="T159" s="222" t="str">
        <f t="shared" si="33"/>
        <v/>
      </c>
      <c r="U159" s="223" t="str">
        <f>IF(J159="Duplex",VLOOKUP(M159,'Características dos Cabos MX'!$C$12:$I$14,2),(IF(J159="Triplex",VLOOKUP(M159,'Características dos Cabos MX'!$C$15:$J$20,2),(IF(J159="Quadruplex",VLOOKUP(M159,'Características dos Cabos MX'!$C$21:$K$27,2),(IF(J159="13",VLOOKUP(M159,'Características dos Cabos MX'!$C$15:$L$20,2),"")))))))</f>
        <v/>
      </c>
      <c r="V159" s="221" t="str">
        <f>IF(J159="Duplex",VLOOKUP(M159,'Características dos Cabos MX'!$C$12:$I$14,3),(IF(J159="Triplex",VLOOKUP(M159,'Características dos Cabos MX'!$C$15:$J$20,3),(IF(J159="Quadruplex",VLOOKUP(M159,'Características dos Cabos MX'!$C$21:$K$27,3),(IF(J159="13",VLOOKUP(M159,'Características dos Cabos MX'!$C$15:$L$20,3),"")))))))</f>
        <v/>
      </c>
      <c r="W159" s="224" t="str">
        <f t="shared" si="34"/>
        <v/>
      </c>
      <c r="X159" s="224" t="str">
        <f t="shared" si="35"/>
        <v/>
      </c>
      <c r="Y159" s="225" t="str">
        <f t="shared" si="36"/>
        <v/>
      </c>
      <c r="AA159" s="298">
        <f t="shared" si="43"/>
        <v>0</v>
      </c>
      <c r="AB159" s="298">
        <f t="shared" si="48"/>
        <v>0</v>
      </c>
      <c r="AC159" s="284"/>
      <c r="AE159" s="299" t="str">
        <f t="shared" si="28"/>
        <v/>
      </c>
      <c r="AF159" s="334">
        <f t="shared" si="29"/>
        <v>0</v>
      </c>
    </row>
    <row r="160" spans="1:32" ht="15" customHeight="1" x14ac:dyDescent="0.25">
      <c r="A160" s="575"/>
      <c r="B160" s="564"/>
      <c r="C160" s="432"/>
      <c r="D160" s="433"/>
      <c r="E160" s="438"/>
      <c r="F160" s="216" t="str">
        <f t="shared" si="30"/>
        <v/>
      </c>
      <c r="G160" s="451"/>
      <c r="H160" s="217" t="str">
        <f>IF(AND(E160="",G160=""),"",SUM(F160:G165))</f>
        <v/>
      </c>
      <c r="I160" s="218"/>
      <c r="J160" s="259"/>
      <c r="K160" s="259"/>
      <c r="L160" s="226" t="str">
        <f>IF(J160="Duplex",VLOOKUP(M160,'Características dos Cabos MX'!$C$12:$I$14,7),(IF(J160="Triplex",VLOOKUP(M160,'Características dos Cabos MX'!$C$15:$J$20,8),(IF(J160="Quadruplex",VLOOKUP(M160,'Características dos Cabos MX'!$C$21:$K$27,9),(IF(J160="13",VLOOKUP(M160,'Características dos Cabos MX'!$C$15:$L$20,10),"")))))))</f>
        <v/>
      </c>
      <c r="M160" s="410" t="str">
        <f t="shared" si="46"/>
        <v/>
      </c>
      <c r="N160" s="444"/>
      <c r="O160" s="219" t="str">
        <f t="shared" si="42"/>
        <v/>
      </c>
      <c r="P160" s="220" t="str">
        <f t="shared" si="49"/>
        <v/>
      </c>
      <c r="Q160" s="220" t="str">
        <f t="shared" si="47"/>
        <v/>
      </c>
      <c r="R160" s="221" t="str">
        <f>IF(J160="Duplex",VLOOKUP(M160,'Características dos Cabos MX'!$C$12:$I$14,5),(IF(J160="Triplex",VLOOKUP(M160,'Características dos Cabos MX'!$C$15:$J$20,5),(IF(J160="Quadruplex",VLOOKUP(M160,'Características dos Cabos MX'!$C$21:$K$27,5),(IF(J160="13",VLOOKUP(M160,'Características dos Cabos MX'!$C$15:$L$20,5),"")))))))</f>
        <v/>
      </c>
      <c r="S160" s="221" t="str">
        <f>IF(J160="Duplex",VLOOKUP(M160,'Características dos Cabos MX'!$C$12:$I$14,6),(IF(J160="Triplex",VLOOKUP(M160,'Características dos Cabos MX'!$C$15:$J$20,6),(IF(J160="Quadruplex",VLOOKUP(M160,'Características dos Cabos MX'!$C$21:$K$27,6),(IF(J160="13",VLOOKUP(M160,'Características dos Cabos MX'!$C$15:$L$20,6),"")))))))</f>
        <v/>
      </c>
      <c r="T160" s="222" t="str">
        <f t="shared" si="33"/>
        <v/>
      </c>
      <c r="U160" s="223" t="str">
        <f>IF(J160="Duplex",VLOOKUP(M160,'Características dos Cabos MX'!$C$12:$I$14,2),(IF(J160="Triplex",VLOOKUP(M160,'Características dos Cabos MX'!$C$15:$J$20,2),(IF(J160="Quadruplex",VLOOKUP(M160,'Características dos Cabos MX'!$C$21:$K$27,2),(IF(J160="13",VLOOKUP(M160,'Características dos Cabos MX'!$C$15:$L$20,2),"")))))))</f>
        <v/>
      </c>
      <c r="V160" s="221" t="str">
        <f>IF(J160="Duplex",VLOOKUP(M160,'Características dos Cabos MX'!$C$12:$I$14,3),(IF(J160="Triplex",VLOOKUP(M160,'Características dos Cabos MX'!$C$15:$J$20,3),(IF(J160="Quadruplex",VLOOKUP(M160,'Características dos Cabos MX'!$C$21:$K$27,3),(IF(J160="13",VLOOKUP(M160,'Características dos Cabos MX'!$C$15:$L$20,3),"")))))))</f>
        <v/>
      </c>
      <c r="W160" s="224" t="str">
        <f t="shared" si="34"/>
        <v/>
      </c>
      <c r="X160" s="224" t="str">
        <f t="shared" si="35"/>
        <v/>
      </c>
      <c r="Y160" s="225" t="str">
        <f t="shared" si="36"/>
        <v/>
      </c>
      <c r="AA160" s="298">
        <f t="shared" si="43"/>
        <v>0</v>
      </c>
      <c r="AB160" s="298">
        <f t="shared" si="48"/>
        <v>0</v>
      </c>
      <c r="AC160" s="284"/>
      <c r="AE160" s="299" t="str">
        <f t="shared" si="28"/>
        <v/>
      </c>
      <c r="AF160" s="334">
        <f t="shared" si="29"/>
        <v>0</v>
      </c>
    </row>
    <row r="161" spans="1:32" ht="15" customHeight="1" x14ac:dyDescent="0.25">
      <c r="A161" s="575"/>
      <c r="B161" s="564"/>
      <c r="C161" s="432"/>
      <c r="D161" s="433"/>
      <c r="E161" s="438"/>
      <c r="F161" s="216" t="str">
        <f t="shared" si="30"/>
        <v/>
      </c>
      <c r="G161" s="451"/>
      <c r="H161" s="217" t="str">
        <f>IF(AND(E161="",G161=""),"",SUM(F161:G165))</f>
        <v/>
      </c>
      <c r="I161" s="218"/>
      <c r="J161" s="259"/>
      <c r="K161" s="259"/>
      <c r="L161" s="226" t="str">
        <f>IF(J161="Duplex",VLOOKUP(M161,'Características dos Cabos MX'!$C$12:$I$14,7),(IF(J161="Triplex",VLOOKUP(M161,'Características dos Cabos MX'!$C$15:$J$20,8),(IF(J161="Quadruplex",VLOOKUP(M161,'Características dos Cabos MX'!$C$21:$K$27,9),(IF(J161="13",VLOOKUP(M161,'Características dos Cabos MX'!$C$15:$L$20,10),"")))))))</f>
        <v/>
      </c>
      <c r="M161" s="410" t="str">
        <f t="shared" si="46"/>
        <v/>
      </c>
      <c r="N161" s="444"/>
      <c r="O161" s="219" t="str">
        <f t="shared" si="42"/>
        <v/>
      </c>
      <c r="P161" s="220" t="str">
        <f t="shared" si="49"/>
        <v/>
      </c>
      <c r="Q161" s="220" t="str">
        <f t="shared" si="47"/>
        <v/>
      </c>
      <c r="R161" s="221" t="str">
        <f>IF(J161="Duplex",VLOOKUP(M161,'Características dos Cabos MX'!$C$12:$I$14,5),(IF(J161="Triplex",VLOOKUP(M161,'Características dos Cabos MX'!$C$15:$J$20,5),(IF(J161="Quadruplex",VLOOKUP(M161,'Características dos Cabos MX'!$C$21:$K$27,5),(IF(J161="13",VLOOKUP(M161,'Características dos Cabos MX'!$C$15:$L$20,5),"")))))))</f>
        <v/>
      </c>
      <c r="S161" s="221" t="str">
        <f>IF(J161="Duplex",VLOOKUP(M161,'Características dos Cabos MX'!$C$12:$I$14,6),(IF(J161="Triplex",VLOOKUP(M161,'Características dos Cabos MX'!$C$15:$J$20,6),(IF(J161="Quadruplex",VLOOKUP(M161,'Características dos Cabos MX'!$C$21:$K$27,6),(IF(J161="13",VLOOKUP(M161,'Características dos Cabos MX'!$C$15:$L$20,6),"")))))))</f>
        <v/>
      </c>
      <c r="T161" s="222" t="str">
        <f t="shared" si="33"/>
        <v/>
      </c>
      <c r="U161" s="223" t="str">
        <f>IF(J161="Duplex",VLOOKUP(M161,'Características dos Cabos MX'!$C$12:$I$14,2),(IF(J161="Triplex",VLOOKUP(M161,'Características dos Cabos MX'!$C$15:$J$20,2),(IF(J161="Quadruplex",VLOOKUP(M161,'Características dos Cabos MX'!$C$21:$K$27,2),(IF(J161="13",VLOOKUP(M161,'Características dos Cabos MX'!$C$15:$L$20,2),"")))))))</f>
        <v/>
      </c>
      <c r="V161" s="221" t="str">
        <f>IF(J161="Duplex",VLOOKUP(M161,'Características dos Cabos MX'!$C$12:$I$14,3),(IF(J161="Triplex",VLOOKUP(M161,'Características dos Cabos MX'!$C$15:$J$20,3),(IF(J161="Quadruplex",VLOOKUP(M161,'Características dos Cabos MX'!$C$21:$K$27,3),(IF(J161="13",VLOOKUP(M161,'Características dos Cabos MX'!$C$15:$L$20,3),"")))))))</f>
        <v/>
      </c>
      <c r="W161" s="224" t="str">
        <f t="shared" si="34"/>
        <v/>
      </c>
      <c r="X161" s="224" t="str">
        <f t="shared" si="35"/>
        <v/>
      </c>
      <c r="Y161" s="225" t="str">
        <f t="shared" si="36"/>
        <v/>
      </c>
      <c r="AA161" s="298">
        <f t="shared" si="43"/>
        <v>0</v>
      </c>
      <c r="AB161" s="298">
        <f t="shared" si="48"/>
        <v>0</v>
      </c>
      <c r="AC161" s="284"/>
      <c r="AE161" s="299" t="str">
        <f t="shared" si="28"/>
        <v/>
      </c>
      <c r="AF161" s="334">
        <f t="shared" si="29"/>
        <v>0</v>
      </c>
    </row>
    <row r="162" spans="1:32" ht="15" customHeight="1" x14ac:dyDescent="0.25">
      <c r="A162" s="575"/>
      <c r="B162" s="564"/>
      <c r="C162" s="432"/>
      <c r="D162" s="433"/>
      <c r="E162" s="438"/>
      <c r="F162" s="216" t="str">
        <f t="shared" si="30"/>
        <v/>
      </c>
      <c r="G162" s="451"/>
      <c r="H162" s="217" t="str">
        <f>IF(AND(E162="",G162=""),"",SUM(F162:G165))</f>
        <v/>
      </c>
      <c r="I162" s="218"/>
      <c r="J162" s="259"/>
      <c r="K162" s="259"/>
      <c r="L162" s="226" t="str">
        <f>IF(J162="Duplex",VLOOKUP(M162,'Características dos Cabos MX'!$C$12:$I$14,7),(IF(J162="Triplex",VLOOKUP(M162,'Características dos Cabos MX'!$C$15:$J$20,8),(IF(J162="Quadruplex",VLOOKUP(M162,'Características dos Cabos MX'!$C$21:$K$27,9),(IF(J162="13",VLOOKUP(M162,'Características dos Cabos MX'!$C$15:$L$20,10),"")))))))</f>
        <v/>
      </c>
      <c r="M162" s="410" t="str">
        <f t="shared" si="46"/>
        <v/>
      </c>
      <c r="N162" s="444"/>
      <c r="O162" s="219" t="str">
        <f t="shared" si="42"/>
        <v/>
      </c>
      <c r="P162" s="220" t="str">
        <f t="shared" si="49"/>
        <v/>
      </c>
      <c r="Q162" s="220" t="str">
        <f t="shared" si="47"/>
        <v/>
      </c>
      <c r="R162" s="221" t="str">
        <f>IF(J162="Duplex",VLOOKUP(M162,'Características dos Cabos MX'!$C$12:$I$14,5),(IF(J162="Triplex",VLOOKUP(M162,'Características dos Cabos MX'!$C$15:$J$20,5),(IF(J162="Quadruplex",VLOOKUP(M162,'Características dos Cabos MX'!$C$21:$K$27,5),(IF(J162="13",VLOOKUP(M162,'Características dos Cabos MX'!$C$15:$L$20,5),"")))))))</f>
        <v/>
      </c>
      <c r="S162" s="221" t="str">
        <f>IF(J162="Duplex",VLOOKUP(M162,'Características dos Cabos MX'!$C$12:$I$14,6),(IF(J162="Triplex",VLOOKUP(M162,'Características dos Cabos MX'!$C$15:$J$20,6),(IF(J162="Quadruplex",VLOOKUP(M162,'Características dos Cabos MX'!$C$21:$K$27,6),(IF(J162="13",VLOOKUP(M162,'Características dos Cabos MX'!$C$15:$L$20,6),"")))))))</f>
        <v/>
      </c>
      <c r="T162" s="222" t="str">
        <f t="shared" si="33"/>
        <v/>
      </c>
      <c r="U162" s="223" t="str">
        <f>IF(J162="Duplex",VLOOKUP(M162,'Características dos Cabos MX'!$C$12:$I$14,2),(IF(J162="Triplex",VLOOKUP(M162,'Características dos Cabos MX'!$C$15:$J$20,2),(IF(J162="Quadruplex",VLOOKUP(M162,'Características dos Cabos MX'!$C$21:$K$27,2),(IF(J162="13",VLOOKUP(M162,'Características dos Cabos MX'!$C$15:$L$20,2),"")))))))</f>
        <v/>
      </c>
      <c r="V162" s="221" t="str">
        <f>IF(J162="Duplex",VLOOKUP(M162,'Características dos Cabos MX'!$C$12:$I$14,3),(IF(J162="Triplex",VLOOKUP(M162,'Características dos Cabos MX'!$C$15:$J$20,3),(IF(J162="Quadruplex",VLOOKUP(M162,'Características dos Cabos MX'!$C$21:$K$27,3),(IF(J162="13",VLOOKUP(M162,'Características dos Cabos MX'!$C$15:$L$20,3),"")))))))</f>
        <v/>
      </c>
      <c r="W162" s="224" t="str">
        <f t="shared" si="34"/>
        <v/>
      </c>
      <c r="X162" s="224" t="str">
        <f t="shared" si="35"/>
        <v/>
      </c>
      <c r="Y162" s="225" t="str">
        <f t="shared" si="36"/>
        <v/>
      </c>
      <c r="AA162" s="298">
        <f t="shared" si="43"/>
        <v>0</v>
      </c>
      <c r="AB162" s="298">
        <f t="shared" si="48"/>
        <v>0</v>
      </c>
      <c r="AC162" s="284"/>
      <c r="AE162" s="299" t="str">
        <f t="shared" si="28"/>
        <v/>
      </c>
      <c r="AF162" s="334">
        <f t="shared" si="29"/>
        <v>0</v>
      </c>
    </row>
    <row r="163" spans="1:32" ht="15" customHeight="1" x14ac:dyDescent="0.25">
      <c r="A163" s="575"/>
      <c r="B163" s="564"/>
      <c r="C163" s="432"/>
      <c r="D163" s="433"/>
      <c r="E163" s="438"/>
      <c r="F163" s="216" t="str">
        <f t="shared" si="30"/>
        <v/>
      </c>
      <c r="G163" s="451"/>
      <c r="H163" s="217" t="str">
        <f>IF(AND(E163="",G163=""),"",SUM(F163:G165))</f>
        <v/>
      </c>
      <c r="I163" s="218"/>
      <c r="J163" s="259"/>
      <c r="K163" s="259"/>
      <c r="L163" s="226" t="str">
        <f>IF(J163="Duplex",VLOOKUP(M163,'Características dos Cabos MX'!$C$12:$I$14,7),(IF(J163="Triplex",VLOOKUP(M163,'Características dos Cabos MX'!$C$15:$J$20,8),(IF(J163="Quadruplex",VLOOKUP(M163,'Características dos Cabos MX'!$C$21:$K$27,9),(IF(J163="13",VLOOKUP(M163,'Características dos Cabos MX'!$C$15:$L$20,10),"")))))))</f>
        <v/>
      </c>
      <c r="M163" s="410" t="str">
        <f t="shared" si="46"/>
        <v/>
      </c>
      <c r="N163" s="444"/>
      <c r="O163" s="219" t="str">
        <f t="shared" si="42"/>
        <v/>
      </c>
      <c r="P163" s="220" t="str">
        <f t="shared" si="49"/>
        <v/>
      </c>
      <c r="Q163" s="220" t="str">
        <f t="shared" si="47"/>
        <v/>
      </c>
      <c r="R163" s="221" t="str">
        <f>IF(J163="Duplex",VLOOKUP(M163,'Características dos Cabos MX'!$C$12:$I$14,5),(IF(J163="Triplex",VLOOKUP(M163,'Características dos Cabos MX'!$C$15:$J$20,5),(IF(J163="Quadruplex",VLOOKUP(M163,'Características dos Cabos MX'!$C$21:$K$27,5),(IF(J163="13",VLOOKUP(M163,'Características dos Cabos MX'!$C$15:$L$20,5),"")))))))</f>
        <v/>
      </c>
      <c r="S163" s="221" t="str">
        <f>IF(J163="Duplex",VLOOKUP(M163,'Características dos Cabos MX'!$C$12:$I$14,6),(IF(J163="Triplex",VLOOKUP(M163,'Características dos Cabos MX'!$C$15:$J$20,6),(IF(J163="Quadruplex",VLOOKUP(M163,'Características dos Cabos MX'!$C$21:$K$27,6),(IF(J163="13",VLOOKUP(M163,'Características dos Cabos MX'!$C$15:$L$20,6),"")))))))</f>
        <v/>
      </c>
      <c r="T163" s="222" t="str">
        <f t="shared" si="33"/>
        <v/>
      </c>
      <c r="U163" s="223" t="str">
        <f>IF(J163="Duplex",VLOOKUP(M163,'Características dos Cabos MX'!$C$12:$I$14,2),(IF(J163="Triplex",VLOOKUP(M163,'Características dos Cabos MX'!$C$15:$J$20,2),(IF(J163="Quadruplex",VLOOKUP(M163,'Características dos Cabos MX'!$C$21:$K$27,2),(IF(J163="13",VLOOKUP(M163,'Características dos Cabos MX'!$C$15:$L$20,2),"")))))))</f>
        <v/>
      </c>
      <c r="V163" s="221" t="str">
        <f>IF(J163="Duplex",VLOOKUP(M163,'Características dos Cabos MX'!$C$12:$I$14,3),(IF(J163="Triplex",VLOOKUP(M163,'Características dos Cabos MX'!$C$15:$J$20,3),(IF(J163="Quadruplex",VLOOKUP(M163,'Características dos Cabos MX'!$C$21:$K$27,3),(IF(J163="13",VLOOKUP(M163,'Características dos Cabos MX'!$C$15:$L$20,3),"")))))))</f>
        <v/>
      </c>
      <c r="W163" s="224" t="str">
        <f t="shared" si="34"/>
        <v/>
      </c>
      <c r="X163" s="224" t="str">
        <f t="shared" si="35"/>
        <v/>
      </c>
      <c r="Y163" s="225" t="str">
        <f t="shared" si="36"/>
        <v/>
      </c>
      <c r="AA163" s="298">
        <f t="shared" si="43"/>
        <v>0</v>
      </c>
      <c r="AB163" s="298">
        <f t="shared" si="48"/>
        <v>0</v>
      </c>
      <c r="AC163" s="284"/>
      <c r="AE163" s="299" t="str">
        <f t="shared" si="28"/>
        <v/>
      </c>
      <c r="AF163" s="334">
        <f t="shared" si="29"/>
        <v>0</v>
      </c>
    </row>
    <row r="164" spans="1:32" ht="15" customHeight="1" x14ac:dyDescent="0.25">
      <c r="A164" s="575"/>
      <c r="B164" s="564"/>
      <c r="C164" s="432"/>
      <c r="D164" s="433"/>
      <c r="E164" s="438"/>
      <c r="F164" s="216" t="str">
        <f t="shared" si="30"/>
        <v/>
      </c>
      <c r="G164" s="451"/>
      <c r="H164" s="217" t="str">
        <f>IF(AND(E164="",G164=""),"",SUM(F164:G165))</f>
        <v/>
      </c>
      <c r="I164" s="218"/>
      <c r="J164" s="259"/>
      <c r="K164" s="259"/>
      <c r="L164" s="226" t="str">
        <f>IF(J164="Duplex",VLOOKUP(M164,'Características dos Cabos MX'!$C$12:$I$14,7),(IF(J164="Triplex",VLOOKUP(M164,'Características dos Cabos MX'!$C$15:$J$20,8),(IF(J164="Quadruplex",VLOOKUP(M164,'Características dos Cabos MX'!$C$21:$K$27,9),(IF(J164="13",VLOOKUP(M164,'Características dos Cabos MX'!$C$15:$L$20,10),"")))))))</f>
        <v/>
      </c>
      <c r="M164" s="410" t="str">
        <f t="shared" si="46"/>
        <v/>
      </c>
      <c r="N164" s="444"/>
      <c r="O164" s="219" t="str">
        <f t="shared" si="42"/>
        <v/>
      </c>
      <c r="P164" s="220" t="str">
        <f t="shared" si="49"/>
        <v/>
      </c>
      <c r="Q164" s="220" t="str">
        <f t="shared" si="47"/>
        <v/>
      </c>
      <c r="R164" s="221" t="str">
        <f>IF(J164="Duplex",VLOOKUP(M164,'Características dos Cabos MX'!$C$12:$I$14,5),(IF(J164="Triplex",VLOOKUP(M164,'Características dos Cabos MX'!$C$15:$J$20,5),(IF(J164="Quadruplex",VLOOKUP(M164,'Características dos Cabos MX'!$C$21:$K$27,5),(IF(J164="13",VLOOKUP(M164,'Características dos Cabos MX'!$C$15:$L$20,5),"")))))))</f>
        <v/>
      </c>
      <c r="S164" s="221" t="str">
        <f>IF(J164="Duplex",VLOOKUP(M164,'Características dos Cabos MX'!$C$12:$I$14,6),(IF(J164="Triplex",VLOOKUP(M164,'Características dos Cabos MX'!$C$15:$J$20,6),(IF(J164="Quadruplex",VLOOKUP(M164,'Características dos Cabos MX'!$C$21:$K$27,6),(IF(J164="13",VLOOKUP(M164,'Características dos Cabos MX'!$C$15:$L$20,6),"")))))))</f>
        <v/>
      </c>
      <c r="T164" s="222" t="str">
        <f t="shared" si="33"/>
        <v/>
      </c>
      <c r="U164" s="223" t="str">
        <f>IF(J164="Duplex",VLOOKUP(M164,'Características dos Cabos MX'!$C$12:$I$14,2),(IF(J164="Triplex",VLOOKUP(M164,'Características dos Cabos MX'!$C$15:$J$20,2),(IF(J164="Quadruplex",VLOOKUP(M164,'Características dos Cabos MX'!$C$21:$K$27,2),(IF(J164="13",VLOOKUP(M164,'Características dos Cabos MX'!$C$15:$L$20,2),"")))))))</f>
        <v/>
      </c>
      <c r="V164" s="221" t="str">
        <f>IF(J164="Duplex",VLOOKUP(M164,'Características dos Cabos MX'!$C$12:$I$14,3),(IF(J164="Triplex",VLOOKUP(M164,'Características dos Cabos MX'!$C$15:$J$20,3),(IF(J164="Quadruplex",VLOOKUP(M164,'Características dos Cabos MX'!$C$21:$K$27,3),(IF(J164="13",VLOOKUP(M164,'Características dos Cabos MX'!$C$15:$L$20,3),"")))))))</f>
        <v/>
      </c>
      <c r="W164" s="224" t="str">
        <f t="shared" si="34"/>
        <v/>
      </c>
      <c r="X164" s="224" t="str">
        <f t="shared" si="35"/>
        <v/>
      </c>
      <c r="Y164" s="225" t="str">
        <f t="shared" si="36"/>
        <v/>
      </c>
      <c r="AA164" s="298">
        <f t="shared" si="43"/>
        <v>0</v>
      </c>
      <c r="AB164" s="298">
        <f t="shared" si="48"/>
        <v>0</v>
      </c>
      <c r="AC164" s="284"/>
      <c r="AE164" s="299" t="str">
        <f t="shared" si="28"/>
        <v/>
      </c>
      <c r="AF164" s="334">
        <f t="shared" si="29"/>
        <v>0</v>
      </c>
    </row>
    <row r="165" spans="1:32" ht="15" customHeight="1" thickBot="1" x14ac:dyDescent="0.3">
      <c r="A165" s="575"/>
      <c r="B165" s="565"/>
      <c r="C165" s="434"/>
      <c r="D165" s="435"/>
      <c r="E165" s="434"/>
      <c r="F165" s="228" t="str">
        <f t="shared" si="30"/>
        <v/>
      </c>
      <c r="G165" s="452"/>
      <c r="H165" s="229" t="str">
        <f>IF(AND(E165="",G165=""),"",SUM(F165:G165))</f>
        <v/>
      </c>
      <c r="I165" s="230"/>
      <c r="J165" s="260"/>
      <c r="K165" s="260"/>
      <c r="L165" s="231" t="str">
        <f>IF(J165="Duplex",VLOOKUP(M165,'Características dos Cabos MX'!$C$12:$I$14,7),(IF(J165="Triplex",VLOOKUP(M165,'Características dos Cabos MX'!$C$15:$J$20,8),(IF(J165="Quadruplex",VLOOKUP(M165,'Características dos Cabos MX'!$C$21:$K$27,9),(IF(J165="13",VLOOKUP(M165,'Características dos Cabos MX'!$C$15:$L$20,10),"")))))))</f>
        <v/>
      </c>
      <c r="M165" s="412" t="str">
        <f t="shared" si="46"/>
        <v/>
      </c>
      <c r="N165" s="445"/>
      <c r="O165" s="232" t="str">
        <f t="shared" si="42"/>
        <v/>
      </c>
      <c r="P165" s="233" t="str">
        <f t="shared" si="49"/>
        <v/>
      </c>
      <c r="Q165" s="233" t="str">
        <f t="shared" si="47"/>
        <v/>
      </c>
      <c r="R165" s="234" t="str">
        <f>IF(J165="Duplex",VLOOKUP(M165,'Características dos Cabos MX'!$C$12:$I$14,5),(IF(J165="Triplex",VLOOKUP(M165,'Características dos Cabos MX'!$C$15:$J$20,5),(IF(J165="Quadruplex",VLOOKUP(M165,'Características dos Cabos MX'!$C$21:$K$27,5),(IF(J165="13",VLOOKUP(M165,'Características dos Cabos MX'!$C$15:$L$20,5),"")))))))</f>
        <v/>
      </c>
      <c r="S165" s="234" t="str">
        <f>IF(J165="Duplex",VLOOKUP(M165,'Características dos Cabos MX'!$C$12:$I$14,6),(IF(J165="Triplex",VLOOKUP(M165,'Características dos Cabos MX'!$C$15:$J$20,6),(IF(J165="Quadruplex",VLOOKUP(M165,'Características dos Cabos MX'!$C$21:$K$27,6),(IF(J165="13",VLOOKUP(M165,'Características dos Cabos MX'!$C$15:$L$20,6),"")))))))</f>
        <v/>
      </c>
      <c r="T165" s="235" t="str">
        <f t="shared" si="33"/>
        <v/>
      </c>
      <c r="U165" s="236" t="str">
        <f>IF(J165="Duplex",VLOOKUP(M165,'Características dos Cabos MX'!$C$12:$I$14,2),(IF(J165="Triplex",VLOOKUP(M165,'Características dos Cabos MX'!$C$15:$J$20,2),(IF(J165="Quadruplex",VLOOKUP(M165,'Características dos Cabos MX'!$C$21:$K$27,2),(IF(J165="13",VLOOKUP(M165,'Características dos Cabos MX'!$C$15:$L$20,2),"")))))))</f>
        <v/>
      </c>
      <c r="V165" s="234" t="str">
        <f>IF(J165="Duplex",VLOOKUP(M165,'Características dos Cabos MX'!$C$12:$I$14,3),(IF(J165="Triplex",VLOOKUP(M165,'Características dos Cabos MX'!$C$15:$J$20,3),(IF(J165="Quadruplex",VLOOKUP(M165,'Características dos Cabos MX'!$C$21:$K$27,3),(IF(J165="13",VLOOKUP(M165,'Características dos Cabos MX'!$C$15:$L$20,3),"")))))))</f>
        <v/>
      </c>
      <c r="W165" s="237" t="str">
        <f t="shared" si="34"/>
        <v/>
      </c>
      <c r="X165" s="237" t="str">
        <f t="shared" si="35"/>
        <v/>
      </c>
      <c r="Y165" s="238" t="str">
        <f t="shared" si="36"/>
        <v/>
      </c>
      <c r="AA165" s="298">
        <f t="shared" si="43"/>
        <v>0</v>
      </c>
      <c r="AB165" s="298">
        <f t="shared" si="48"/>
        <v>0</v>
      </c>
      <c r="AC165" s="284"/>
      <c r="AE165" s="299" t="str">
        <f t="shared" si="28"/>
        <v/>
      </c>
      <c r="AF165" s="334">
        <f t="shared" si="29"/>
        <v>0</v>
      </c>
    </row>
    <row r="166" spans="1:32" ht="15" customHeight="1" thickTop="1" x14ac:dyDescent="0.25">
      <c r="A166" s="575"/>
      <c r="B166" s="563" t="str">
        <f>CONCATENATE("Ramal 13 - Derivando no ponto ",C166)</f>
        <v xml:space="preserve">Ramal 13 - Derivando no ponto </v>
      </c>
      <c r="C166" s="431"/>
      <c r="D166" s="436"/>
      <c r="E166" s="440"/>
      <c r="F166" s="239" t="str">
        <f t="shared" si="30"/>
        <v/>
      </c>
      <c r="G166" s="453"/>
      <c r="H166" s="240" t="str">
        <f>IF(AND(E166="",G166=""),"",SUM(F166:G175))</f>
        <v/>
      </c>
      <c r="I166" s="241"/>
      <c r="J166" s="262"/>
      <c r="K166" s="262"/>
      <c r="L166" s="242" t="str">
        <f>IF(J166="Duplex",VLOOKUP(M166,'Características dos Cabos MX'!$C$12:$I$14,7),(IF(J166="Triplex",VLOOKUP(M166,'Características dos Cabos MX'!$C$15:$J$20,8),(IF(J166="Quadruplex",VLOOKUP(M166,'Características dos Cabos MX'!$C$21:$K$27,9),(IF(J166="13",VLOOKUP(M166,'Características dos Cabos MX'!$C$15:$L$20,10),"")))))))</f>
        <v/>
      </c>
      <c r="M166" s="413" t="str">
        <f t="shared" si="46"/>
        <v/>
      </c>
      <c r="N166" s="446"/>
      <c r="O166" s="243" t="str">
        <f t="shared" si="42"/>
        <v/>
      </c>
      <c r="P166" s="244" t="str">
        <f>IF(O166="","",O166+VLOOKUP(C166,$D$20:$Q$166,13,FALSE))</f>
        <v/>
      </c>
      <c r="Q166" s="244" t="str">
        <f t="shared" si="47"/>
        <v/>
      </c>
      <c r="R166" s="245" t="str">
        <f>IF(J166="Duplex",VLOOKUP(M166,'Características dos Cabos MX'!$C$12:$I$14,5),(IF(J166="Triplex",VLOOKUP(M166,'Características dos Cabos MX'!$C$15:$J$20,5),(IF(J166="Quadruplex",VLOOKUP(M166,'Características dos Cabos MX'!$C$21:$K$27,5),(IF(J166="13",VLOOKUP(M166,'Características dos Cabos MX'!$C$15:$L$20,5),"")))))))</f>
        <v/>
      </c>
      <c r="S166" s="245" t="str">
        <f>IF(J166="Duplex",VLOOKUP(M166,'Características dos Cabos MX'!$C$12:$I$14,6),(IF(J166="Triplex",VLOOKUP(M166,'Características dos Cabos MX'!$C$15:$J$20,6),(IF(J166="Quadruplex",VLOOKUP(M166,'Características dos Cabos MX'!$C$21:$K$27,6),(IF(J166="13",VLOOKUP(M166,'Características dos Cabos MX'!$C$15:$L$20,6),"")))))))</f>
        <v/>
      </c>
      <c r="T166" s="246" t="str">
        <f t="shared" si="33"/>
        <v/>
      </c>
      <c r="U166" s="247" t="str">
        <f>IF(J166="Duplex",VLOOKUP(M166,'Características dos Cabos MX'!$C$12:$I$14,2),(IF(J166="Triplex",VLOOKUP(M166,'Características dos Cabos MX'!$C$15:$J$20,2),(IF(J166="Quadruplex",VLOOKUP(M166,'Características dos Cabos MX'!$C$21:$K$27,2),(IF(J166="13",VLOOKUP(M166,'Características dos Cabos MX'!$C$15:$L$20,2),"")))))))</f>
        <v/>
      </c>
      <c r="V166" s="245" t="str">
        <f>IF(J166="Duplex",VLOOKUP(M166,'Características dos Cabos MX'!$C$12:$I$14,3),(IF(J166="Triplex",VLOOKUP(M166,'Características dos Cabos MX'!$C$15:$J$20,3),(IF(J166="Quadruplex",VLOOKUP(M166,'Características dos Cabos MX'!$C$21:$K$27,3),(IF(J166="13",VLOOKUP(M166,'Características dos Cabos MX'!$C$15:$L$20,3),"")))))))</f>
        <v/>
      </c>
      <c r="W166" s="248" t="str">
        <f t="shared" si="34"/>
        <v/>
      </c>
      <c r="X166" s="248" t="str">
        <f t="shared" si="35"/>
        <v/>
      </c>
      <c r="Y166" s="249" t="str">
        <f t="shared" si="36"/>
        <v/>
      </c>
      <c r="Z166" s="121" t="str">
        <f>IF(O166="","",O166+VLOOKUP(C166,$D$20:$P$44,13,FALSE))</f>
        <v/>
      </c>
      <c r="AA166" s="298">
        <f t="shared" si="43"/>
        <v>0</v>
      </c>
      <c r="AB166" s="298">
        <f t="shared" ref="AB166:AB175" si="50">K166</f>
        <v>0</v>
      </c>
      <c r="AC166" s="284"/>
      <c r="AE166" s="299" t="str">
        <f t="shared" si="28"/>
        <v/>
      </c>
      <c r="AF166" s="334">
        <f t="shared" si="29"/>
        <v>0</v>
      </c>
    </row>
    <row r="167" spans="1:32" ht="15" customHeight="1" x14ac:dyDescent="0.25">
      <c r="A167" s="575"/>
      <c r="B167" s="564"/>
      <c r="C167" s="432"/>
      <c r="D167" s="433"/>
      <c r="E167" s="438"/>
      <c r="F167" s="216" t="str">
        <f t="shared" si="30"/>
        <v/>
      </c>
      <c r="G167" s="451"/>
      <c r="H167" s="217" t="str">
        <f>IF(AND(E167="",G167=""),"",SUM(F167:G175))</f>
        <v/>
      </c>
      <c r="I167" s="218"/>
      <c r="J167" s="259"/>
      <c r="K167" s="259"/>
      <c r="L167" s="226" t="str">
        <f>IF(J167="Duplex",VLOOKUP(M167,'Características dos Cabos MX'!$C$12:$I$14,7),(IF(J167="Triplex",VLOOKUP(M167,'Características dos Cabos MX'!$C$15:$J$20,8),(IF(J167="Quadruplex",VLOOKUP(M167,'Características dos Cabos MX'!$C$21:$K$27,9),(IF(J167="13",VLOOKUP(M167,'Características dos Cabos MX'!$C$15:$L$20,10),"")))))))</f>
        <v/>
      </c>
      <c r="M167" s="410" t="str">
        <f t="shared" si="46"/>
        <v/>
      </c>
      <c r="N167" s="444"/>
      <c r="O167" s="219" t="str">
        <f t="shared" si="42"/>
        <v/>
      </c>
      <c r="P167" s="220" t="str">
        <f t="shared" ref="P167:P175" si="51">IF(O167="","",P166+O167)</f>
        <v/>
      </c>
      <c r="Q167" s="220" t="str">
        <f t="shared" si="47"/>
        <v/>
      </c>
      <c r="R167" s="221" t="str">
        <f>IF(J167="Duplex",VLOOKUP(M167,'Características dos Cabos MX'!$C$12:$I$14,5),(IF(J167="Triplex",VLOOKUP(M167,'Características dos Cabos MX'!$C$15:$J$20,5),(IF(J167="Quadruplex",VLOOKUP(M167,'Características dos Cabos MX'!$C$21:$K$27,5),(IF(J167="13",VLOOKUP(M167,'Características dos Cabos MX'!$C$15:$L$20,5),"")))))))</f>
        <v/>
      </c>
      <c r="S167" s="221" t="str">
        <f>IF(J167="Duplex",VLOOKUP(M167,'Características dos Cabos MX'!$C$12:$I$14,6),(IF(J167="Triplex",VLOOKUP(M167,'Características dos Cabos MX'!$C$15:$J$20,6),(IF(J167="Quadruplex",VLOOKUP(M167,'Características dos Cabos MX'!$C$21:$K$27,6),(IF(J167="13",VLOOKUP(M167,'Características dos Cabos MX'!$C$15:$L$20,6),"")))))))</f>
        <v/>
      </c>
      <c r="T167" s="222" t="str">
        <f t="shared" si="33"/>
        <v/>
      </c>
      <c r="U167" s="223" t="str">
        <f>IF(J167="Duplex",VLOOKUP(M167,'Características dos Cabos MX'!$C$12:$I$14,2),(IF(J167="Triplex",VLOOKUP(M167,'Características dos Cabos MX'!$C$15:$J$20,2),(IF(J167="Quadruplex",VLOOKUP(M167,'Características dos Cabos MX'!$C$21:$K$27,2),(IF(J167="13",VLOOKUP(M167,'Características dos Cabos MX'!$C$15:$L$20,2),"")))))))</f>
        <v/>
      </c>
      <c r="V167" s="221" t="str">
        <f>IF(J167="Duplex",VLOOKUP(M167,'Características dos Cabos MX'!$C$12:$I$14,3),(IF(J167="Triplex",VLOOKUP(M167,'Características dos Cabos MX'!$C$15:$J$20,3),(IF(J167="Quadruplex",VLOOKUP(M167,'Características dos Cabos MX'!$C$21:$K$27,3),(IF(J167="13",VLOOKUP(M167,'Características dos Cabos MX'!$C$15:$L$20,3),"")))))))</f>
        <v/>
      </c>
      <c r="W167" s="224" t="str">
        <f t="shared" si="34"/>
        <v/>
      </c>
      <c r="X167" s="224" t="str">
        <f t="shared" si="35"/>
        <v/>
      </c>
      <c r="Y167" s="225" t="str">
        <f t="shared" si="36"/>
        <v/>
      </c>
      <c r="AA167" s="298">
        <f t="shared" si="43"/>
        <v>0</v>
      </c>
      <c r="AB167" s="298">
        <f t="shared" si="50"/>
        <v>0</v>
      </c>
      <c r="AC167" s="284"/>
      <c r="AE167" s="299" t="str">
        <f t="shared" si="28"/>
        <v/>
      </c>
      <c r="AF167" s="334">
        <f t="shared" si="29"/>
        <v>0</v>
      </c>
    </row>
    <row r="168" spans="1:32" ht="15" customHeight="1" x14ac:dyDescent="0.25">
      <c r="A168" s="575"/>
      <c r="B168" s="564"/>
      <c r="C168" s="432"/>
      <c r="D168" s="433"/>
      <c r="E168" s="438"/>
      <c r="F168" s="216" t="str">
        <f t="shared" si="30"/>
        <v/>
      </c>
      <c r="G168" s="451"/>
      <c r="H168" s="217" t="str">
        <f>IF(AND(E168="",G168=""),"",SUM(F168:G175))</f>
        <v/>
      </c>
      <c r="I168" s="218"/>
      <c r="J168" s="259"/>
      <c r="K168" s="259"/>
      <c r="L168" s="226" t="str">
        <f>IF(J168="Duplex",VLOOKUP(M168,'Características dos Cabos MX'!$C$12:$I$14,7),(IF(J168="Triplex",VLOOKUP(M168,'Características dos Cabos MX'!$C$15:$J$20,8),(IF(J168="Quadruplex",VLOOKUP(M168,'Características dos Cabos MX'!$C$21:$K$27,9),(IF(J168="13",VLOOKUP(M168,'Características dos Cabos MX'!$C$15:$L$20,10),"")))))))</f>
        <v/>
      </c>
      <c r="M168" s="410" t="str">
        <f t="shared" si="46"/>
        <v/>
      </c>
      <c r="N168" s="444"/>
      <c r="O168" s="219" t="str">
        <f t="shared" si="42"/>
        <v/>
      </c>
      <c r="P168" s="220" t="str">
        <f t="shared" si="51"/>
        <v/>
      </c>
      <c r="Q168" s="220" t="str">
        <f t="shared" si="47"/>
        <v/>
      </c>
      <c r="R168" s="221" t="str">
        <f>IF(J168="Duplex",VLOOKUP(M168,'Características dos Cabos MX'!$C$12:$I$14,5),(IF(J168="Triplex",VLOOKUP(M168,'Características dos Cabos MX'!$C$15:$J$20,5),(IF(J168="Quadruplex",VLOOKUP(M168,'Características dos Cabos MX'!$C$21:$K$27,5),(IF(J168="13",VLOOKUP(M168,'Características dos Cabos MX'!$C$15:$L$20,5),"")))))))</f>
        <v/>
      </c>
      <c r="S168" s="221" t="str">
        <f>IF(J168="Duplex",VLOOKUP(M168,'Características dos Cabos MX'!$C$12:$I$14,6),(IF(J168="Triplex",VLOOKUP(M168,'Características dos Cabos MX'!$C$15:$J$20,6),(IF(J168="Quadruplex",VLOOKUP(M168,'Características dos Cabos MX'!$C$21:$K$27,6),(IF(J168="13",VLOOKUP(M168,'Características dos Cabos MX'!$C$15:$L$20,6),"")))))))</f>
        <v/>
      </c>
      <c r="T168" s="222" t="str">
        <f t="shared" si="33"/>
        <v/>
      </c>
      <c r="U168" s="223" t="str">
        <f>IF(J168="Duplex",VLOOKUP(M168,'Características dos Cabos MX'!$C$12:$I$14,2),(IF(J168="Triplex",VLOOKUP(M168,'Características dos Cabos MX'!$C$15:$J$20,2),(IF(J168="Quadruplex",VLOOKUP(M168,'Características dos Cabos MX'!$C$21:$K$27,2),(IF(J168="13",VLOOKUP(M168,'Características dos Cabos MX'!$C$15:$L$20,2),"")))))))</f>
        <v/>
      </c>
      <c r="V168" s="221" t="str">
        <f>IF(J168="Duplex",VLOOKUP(M168,'Características dos Cabos MX'!$C$12:$I$14,3),(IF(J168="Triplex",VLOOKUP(M168,'Características dos Cabos MX'!$C$15:$J$20,3),(IF(J168="Quadruplex",VLOOKUP(M168,'Características dos Cabos MX'!$C$21:$K$27,3),(IF(J168="13",VLOOKUP(M168,'Características dos Cabos MX'!$C$15:$L$20,3),"")))))))</f>
        <v/>
      </c>
      <c r="W168" s="224" t="str">
        <f t="shared" si="34"/>
        <v/>
      </c>
      <c r="X168" s="224" t="str">
        <f t="shared" si="35"/>
        <v/>
      </c>
      <c r="Y168" s="225" t="str">
        <f t="shared" si="36"/>
        <v/>
      </c>
      <c r="AA168" s="298">
        <f t="shared" si="43"/>
        <v>0</v>
      </c>
      <c r="AB168" s="298">
        <f t="shared" si="50"/>
        <v>0</v>
      </c>
      <c r="AC168" s="284"/>
      <c r="AE168" s="299" t="str">
        <f t="shared" si="28"/>
        <v/>
      </c>
      <c r="AF168" s="334">
        <f t="shared" si="29"/>
        <v>0</v>
      </c>
    </row>
    <row r="169" spans="1:32" ht="15" customHeight="1" x14ac:dyDescent="0.25">
      <c r="A169" s="575"/>
      <c r="B169" s="564"/>
      <c r="C169" s="432"/>
      <c r="D169" s="433"/>
      <c r="E169" s="438"/>
      <c r="F169" s="216" t="str">
        <f t="shared" si="30"/>
        <v/>
      </c>
      <c r="G169" s="451"/>
      <c r="H169" s="217" t="str">
        <f>IF(AND(E169="",G169=""),"",SUM(F169:G175))</f>
        <v/>
      </c>
      <c r="I169" s="218"/>
      <c r="J169" s="259"/>
      <c r="K169" s="259"/>
      <c r="L169" s="226" t="str">
        <f>IF(J169="Duplex",VLOOKUP(M169,'Características dos Cabos MX'!$C$12:$I$14,7),(IF(J169="Triplex",VLOOKUP(M169,'Características dos Cabos MX'!$C$15:$J$20,8),(IF(J169="Quadruplex",VLOOKUP(M169,'Características dos Cabos MX'!$C$21:$K$27,9),(IF(J169="13",VLOOKUP(M169,'Características dos Cabos MX'!$C$15:$L$20,10),"")))))))</f>
        <v/>
      </c>
      <c r="M169" s="410" t="str">
        <f t="shared" si="46"/>
        <v/>
      </c>
      <c r="N169" s="444"/>
      <c r="O169" s="219" t="str">
        <f t="shared" si="42"/>
        <v/>
      </c>
      <c r="P169" s="220" t="str">
        <f t="shared" si="51"/>
        <v/>
      </c>
      <c r="Q169" s="220" t="str">
        <f t="shared" si="47"/>
        <v/>
      </c>
      <c r="R169" s="221" t="str">
        <f>IF(J169="Duplex",VLOOKUP(M169,'Características dos Cabos MX'!$C$12:$I$14,5),(IF(J169="Triplex",VLOOKUP(M169,'Características dos Cabos MX'!$C$15:$J$20,5),(IF(J169="Quadruplex",VLOOKUP(M169,'Características dos Cabos MX'!$C$21:$K$27,5),(IF(J169="13",VLOOKUP(M169,'Características dos Cabos MX'!$C$15:$L$20,5),"")))))))</f>
        <v/>
      </c>
      <c r="S169" s="221" t="str">
        <f>IF(J169="Duplex",VLOOKUP(M169,'Características dos Cabos MX'!$C$12:$I$14,6),(IF(J169="Triplex",VLOOKUP(M169,'Características dos Cabos MX'!$C$15:$J$20,6),(IF(J169="Quadruplex",VLOOKUP(M169,'Características dos Cabos MX'!$C$21:$K$27,6),(IF(J169="13",VLOOKUP(M169,'Características dos Cabos MX'!$C$15:$L$20,6),"")))))))</f>
        <v/>
      </c>
      <c r="T169" s="222" t="str">
        <f t="shared" si="33"/>
        <v/>
      </c>
      <c r="U169" s="223" t="str">
        <f>IF(J169="Duplex",VLOOKUP(M169,'Características dos Cabos MX'!$C$12:$I$14,2),(IF(J169="Triplex",VLOOKUP(M169,'Características dos Cabos MX'!$C$15:$J$20,2),(IF(J169="Quadruplex",VLOOKUP(M169,'Características dos Cabos MX'!$C$21:$K$27,2),(IF(J169="13",VLOOKUP(M169,'Características dos Cabos MX'!$C$15:$L$20,2),"")))))))</f>
        <v/>
      </c>
      <c r="V169" s="221" t="str">
        <f>IF(J169="Duplex",VLOOKUP(M169,'Características dos Cabos MX'!$C$12:$I$14,3),(IF(J169="Triplex",VLOOKUP(M169,'Características dos Cabos MX'!$C$15:$J$20,3),(IF(J169="Quadruplex",VLOOKUP(M169,'Características dos Cabos MX'!$C$21:$K$27,3),(IF(J169="13",VLOOKUP(M169,'Características dos Cabos MX'!$C$15:$L$20,3),"")))))))</f>
        <v/>
      </c>
      <c r="W169" s="224" t="str">
        <f t="shared" si="34"/>
        <v/>
      </c>
      <c r="X169" s="224" t="str">
        <f t="shared" si="35"/>
        <v/>
      </c>
      <c r="Y169" s="225" t="str">
        <f t="shared" si="36"/>
        <v/>
      </c>
      <c r="AA169" s="298">
        <f t="shared" si="43"/>
        <v>0</v>
      </c>
      <c r="AB169" s="298">
        <f t="shared" si="50"/>
        <v>0</v>
      </c>
      <c r="AC169" s="284"/>
      <c r="AE169" s="299" t="str">
        <f t="shared" si="28"/>
        <v/>
      </c>
      <c r="AF169" s="334">
        <f t="shared" si="29"/>
        <v>0</v>
      </c>
    </row>
    <row r="170" spans="1:32" ht="15" customHeight="1" x14ac:dyDescent="0.25">
      <c r="A170" s="575"/>
      <c r="B170" s="564"/>
      <c r="C170" s="432"/>
      <c r="D170" s="433"/>
      <c r="E170" s="438"/>
      <c r="F170" s="216" t="str">
        <f t="shared" si="30"/>
        <v/>
      </c>
      <c r="G170" s="451"/>
      <c r="H170" s="217" t="str">
        <f>IF(AND(E170="",G170=""),"",SUM(F170:G175))</f>
        <v/>
      </c>
      <c r="I170" s="218"/>
      <c r="J170" s="259"/>
      <c r="K170" s="259"/>
      <c r="L170" s="226" t="str">
        <f>IF(J170="Duplex",VLOOKUP(M170,'Características dos Cabos MX'!$C$12:$I$14,7),(IF(J170="Triplex",VLOOKUP(M170,'Características dos Cabos MX'!$C$15:$J$20,8),(IF(J170="Quadruplex",VLOOKUP(M170,'Características dos Cabos MX'!$C$21:$K$27,9),(IF(J170="13",VLOOKUP(M170,'Características dos Cabos MX'!$C$15:$L$20,10),"")))))))</f>
        <v/>
      </c>
      <c r="M170" s="410" t="str">
        <f t="shared" si="46"/>
        <v/>
      </c>
      <c r="N170" s="444"/>
      <c r="O170" s="219" t="str">
        <f t="shared" si="42"/>
        <v/>
      </c>
      <c r="P170" s="220" t="str">
        <f t="shared" si="51"/>
        <v/>
      </c>
      <c r="Q170" s="220" t="str">
        <f t="shared" si="47"/>
        <v/>
      </c>
      <c r="R170" s="221" t="str">
        <f>IF(J170="Duplex",VLOOKUP(M170,'Características dos Cabos MX'!$C$12:$I$14,5),(IF(J170="Triplex",VLOOKUP(M170,'Características dos Cabos MX'!$C$15:$J$20,5),(IF(J170="Quadruplex",VLOOKUP(M170,'Características dos Cabos MX'!$C$21:$K$27,5),(IF(J170="13",VLOOKUP(M170,'Características dos Cabos MX'!$C$15:$L$20,5),"")))))))</f>
        <v/>
      </c>
      <c r="S170" s="221" t="str">
        <f>IF(J170="Duplex",VLOOKUP(M170,'Características dos Cabos MX'!$C$12:$I$14,6),(IF(J170="Triplex",VLOOKUP(M170,'Características dos Cabos MX'!$C$15:$J$20,6),(IF(J170="Quadruplex",VLOOKUP(M170,'Características dos Cabos MX'!$C$21:$K$27,6),(IF(J170="13",VLOOKUP(M170,'Características dos Cabos MX'!$C$15:$L$20,6),"")))))))</f>
        <v/>
      </c>
      <c r="T170" s="222" t="str">
        <f t="shared" si="33"/>
        <v/>
      </c>
      <c r="U170" s="223" t="str">
        <f>IF(J170="Duplex",VLOOKUP(M170,'Características dos Cabos MX'!$C$12:$I$14,2),(IF(J170="Triplex",VLOOKUP(M170,'Características dos Cabos MX'!$C$15:$J$20,2),(IF(J170="Quadruplex",VLOOKUP(M170,'Características dos Cabos MX'!$C$21:$K$27,2),(IF(J170="13",VLOOKUP(M170,'Características dos Cabos MX'!$C$15:$L$20,2),"")))))))</f>
        <v/>
      </c>
      <c r="V170" s="221" t="str">
        <f>IF(J170="Duplex",VLOOKUP(M170,'Características dos Cabos MX'!$C$12:$I$14,3),(IF(J170="Triplex",VLOOKUP(M170,'Características dos Cabos MX'!$C$15:$J$20,3),(IF(J170="Quadruplex",VLOOKUP(M170,'Características dos Cabos MX'!$C$21:$K$27,3),(IF(J170="13",VLOOKUP(M170,'Características dos Cabos MX'!$C$15:$L$20,3),"")))))))</f>
        <v/>
      </c>
      <c r="W170" s="224" t="str">
        <f t="shared" si="34"/>
        <v/>
      </c>
      <c r="X170" s="224" t="str">
        <f t="shared" si="35"/>
        <v/>
      </c>
      <c r="Y170" s="225" t="str">
        <f t="shared" si="36"/>
        <v/>
      </c>
      <c r="AA170" s="298">
        <f t="shared" si="43"/>
        <v>0</v>
      </c>
      <c r="AB170" s="298">
        <f t="shared" si="50"/>
        <v>0</v>
      </c>
      <c r="AC170" s="284"/>
      <c r="AE170" s="299" t="str">
        <f t="shared" si="28"/>
        <v/>
      </c>
      <c r="AF170" s="334">
        <f t="shared" si="29"/>
        <v>0</v>
      </c>
    </row>
    <row r="171" spans="1:32" ht="15" customHeight="1" x14ac:dyDescent="0.25">
      <c r="A171" s="575"/>
      <c r="B171" s="564"/>
      <c r="C171" s="432"/>
      <c r="D171" s="433"/>
      <c r="E171" s="438"/>
      <c r="F171" s="216" t="str">
        <f t="shared" si="30"/>
        <v/>
      </c>
      <c r="G171" s="451"/>
      <c r="H171" s="217" t="str">
        <f>IF(AND(E171="",G171=""),"",SUM(F171:G175))</f>
        <v/>
      </c>
      <c r="I171" s="218"/>
      <c r="J171" s="259"/>
      <c r="K171" s="259"/>
      <c r="L171" s="226" t="str">
        <f>IF(J171="Duplex",VLOOKUP(M171,'Características dos Cabos MX'!$C$12:$I$14,7),(IF(J171="Triplex",VLOOKUP(M171,'Características dos Cabos MX'!$C$15:$J$20,8),(IF(J171="Quadruplex",VLOOKUP(M171,'Características dos Cabos MX'!$C$21:$K$27,9),(IF(J171="13",VLOOKUP(M171,'Características dos Cabos MX'!$C$15:$L$20,10),"")))))))</f>
        <v/>
      </c>
      <c r="M171" s="410" t="str">
        <f t="shared" si="46"/>
        <v/>
      </c>
      <c r="N171" s="444"/>
      <c r="O171" s="219" t="str">
        <f t="shared" si="42"/>
        <v/>
      </c>
      <c r="P171" s="220" t="str">
        <f t="shared" si="51"/>
        <v/>
      </c>
      <c r="Q171" s="220" t="str">
        <f t="shared" si="47"/>
        <v/>
      </c>
      <c r="R171" s="221" t="str">
        <f>IF(J171="Duplex",VLOOKUP(M171,'Características dos Cabos MX'!$C$12:$I$14,5),(IF(J171="Triplex",VLOOKUP(M171,'Características dos Cabos MX'!$C$15:$J$20,5),(IF(J171="Quadruplex",VLOOKUP(M171,'Características dos Cabos MX'!$C$21:$K$27,5),(IF(J171="13",VLOOKUP(M171,'Características dos Cabos MX'!$C$15:$L$20,5),"")))))))</f>
        <v/>
      </c>
      <c r="S171" s="221" t="str">
        <f>IF(J171="Duplex",VLOOKUP(M171,'Características dos Cabos MX'!$C$12:$I$14,6),(IF(J171="Triplex",VLOOKUP(M171,'Características dos Cabos MX'!$C$15:$J$20,6),(IF(J171="Quadruplex",VLOOKUP(M171,'Características dos Cabos MX'!$C$21:$K$27,6),(IF(J171="13",VLOOKUP(M171,'Características dos Cabos MX'!$C$15:$L$20,6),"")))))))</f>
        <v/>
      </c>
      <c r="T171" s="222" t="str">
        <f t="shared" si="33"/>
        <v/>
      </c>
      <c r="U171" s="223" t="str">
        <f>IF(J171="Duplex",VLOOKUP(M171,'Características dos Cabos MX'!$C$12:$I$14,2),(IF(J171="Triplex",VLOOKUP(M171,'Características dos Cabos MX'!$C$15:$J$20,2),(IF(J171="Quadruplex",VLOOKUP(M171,'Características dos Cabos MX'!$C$21:$K$27,2),(IF(J171="13",VLOOKUP(M171,'Características dos Cabos MX'!$C$15:$L$20,2),"")))))))</f>
        <v/>
      </c>
      <c r="V171" s="221" t="str">
        <f>IF(J171="Duplex",VLOOKUP(M171,'Características dos Cabos MX'!$C$12:$I$14,3),(IF(J171="Triplex",VLOOKUP(M171,'Características dos Cabos MX'!$C$15:$J$20,3),(IF(J171="Quadruplex",VLOOKUP(M171,'Características dos Cabos MX'!$C$21:$K$27,3),(IF(J171="13",VLOOKUP(M171,'Características dos Cabos MX'!$C$15:$L$20,3),"")))))))</f>
        <v/>
      </c>
      <c r="W171" s="224" t="str">
        <f t="shared" si="34"/>
        <v/>
      </c>
      <c r="X171" s="224" t="str">
        <f t="shared" si="35"/>
        <v/>
      </c>
      <c r="Y171" s="225" t="str">
        <f t="shared" si="36"/>
        <v/>
      </c>
      <c r="AA171" s="298">
        <f t="shared" si="43"/>
        <v>0</v>
      </c>
      <c r="AB171" s="298">
        <f t="shared" si="50"/>
        <v>0</v>
      </c>
      <c r="AC171" s="284"/>
      <c r="AE171" s="299" t="str">
        <f t="shared" si="28"/>
        <v/>
      </c>
      <c r="AF171" s="334">
        <f t="shared" si="29"/>
        <v>0</v>
      </c>
    </row>
    <row r="172" spans="1:32" ht="15" customHeight="1" x14ac:dyDescent="0.25">
      <c r="A172" s="575"/>
      <c r="B172" s="564"/>
      <c r="C172" s="432"/>
      <c r="D172" s="433"/>
      <c r="E172" s="438"/>
      <c r="F172" s="216" t="str">
        <f t="shared" si="30"/>
        <v/>
      </c>
      <c r="G172" s="451"/>
      <c r="H172" s="217" t="str">
        <f>IF(AND(E172="",G172=""),"",SUM(F172:G175))</f>
        <v/>
      </c>
      <c r="I172" s="218"/>
      <c r="J172" s="259"/>
      <c r="K172" s="259"/>
      <c r="L172" s="226" t="str">
        <f>IF(J172="Duplex",VLOOKUP(M172,'Características dos Cabos MX'!$C$12:$I$14,7),(IF(J172="Triplex",VLOOKUP(M172,'Características dos Cabos MX'!$C$15:$J$20,8),(IF(J172="Quadruplex",VLOOKUP(M172,'Características dos Cabos MX'!$C$21:$K$27,9),(IF(J172="13",VLOOKUP(M172,'Características dos Cabos MX'!$C$15:$L$20,10),"")))))))</f>
        <v/>
      </c>
      <c r="M172" s="410" t="str">
        <f t="shared" si="46"/>
        <v/>
      </c>
      <c r="N172" s="444"/>
      <c r="O172" s="219" t="str">
        <f t="shared" si="42"/>
        <v/>
      </c>
      <c r="P172" s="220" t="str">
        <f t="shared" si="51"/>
        <v/>
      </c>
      <c r="Q172" s="220" t="str">
        <f t="shared" si="47"/>
        <v/>
      </c>
      <c r="R172" s="221" t="str">
        <f>IF(J172="Duplex",VLOOKUP(M172,'Características dos Cabos MX'!$C$12:$I$14,5),(IF(J172="Triplex",VLOOKUP(M172,'Características dos Cabos MX'!$C$15:$J$20,5),(IF(J172="Quadruplex",VLOOKUP(M172,'Características dos Cabos MX'!$C$21:$K$27,5),(IF(J172="13",VLOOKUP(M172,'Características dos Cabos MX'!$C$15:$L$20,5),"")))))))</f>
        <v/>
      </c>
      <c r="S172" s="221" t="str">
        <f>IF(J172="Duplex",VLOOKUP(M172,'Características dos Cabos MX'!$C$12:$I$14,6),(IF(J172="Triplex",VLOOKUP(M172,'Características dos Cabos MX'!$C$15:$J$20,6),(IF(J172="Quadruplex",VLOOKUP(M172,'Características dos Cabos MX'!$C$21:$K$27,6),(IF(J172="13",VLOOKUP(M172,'Características dos Cabos MX'!$C$15:$L$20,6),"")))))))</f>
        <v/>
      </c>
      <c r="T172" s="222" t="str">
        <f t="shared" si="33"/>
        <v/>
      </c>
      <c r="U172" s="223" t="str">
        <f>IF(J172="Duplex",VLOOKUP(M172,'Características dos Cabos MX'!$C$12:$I$14,2),(IF(J172="Triplex",VLOOKUP(M172,'Características dos Cabos MX'!$C$15:$J$20,2),(IF(J172="Quadruplex",VLOOKUP(M172,'Características dos Cabos MX'!$C$21:$K$27,2),(IF(J172="13",VLOOKUP(M172,'Características dos Cabos MX'!$C$15:$L$20,2),"")))))))</f>
        <v/>
      </c>
      <c r="V172" s="221" t="str">
        <f>IF(J172="Duplex",VLOOKUP(M172,'Características dos Cabos MX'!$C$12:$I$14,3),(IF(J172="Triplex",VLOOKUP(M172,'Características dos Cabos MX'!$C$15:$J$20,3),(IF(J172="Quadruplex",VLOOKUP(M172,'Características dos Cabos MX'!$C$21:$K$27,3),(IF(J172="13",VLOOKUP(M172,'Características dos Cabos MX'!$C$15:$L$20,3),"")))))))</f>
        <v/>
      </c>
      <c r="W172" s="224" t="str">
        <f t="shared" si="34"/>
        <v/>
      </c>
      <c r="X172" s="224" t="str">
        <f t="shared" si="35"/>
        <v/>
      </c>
      <c r="Y172" s="225" t="str">
        <f t="shared" si="36"/>
        <v/>
      </c>
      <c r="AA172" s="298">
        <f t="shared" si="43"/>
        <v>0</v>
      </c>
      <c r="AB172" s="298">
        <f t="shared" si="50"/>
        <v>0</v>
      </c>
      <c r="AC172" s="284"/>
      <c r="AE172" s="299" t="str">
        <f t="shared" si="28"/>
        <v/>
      </c>
      <c r="AF172" s="334">
        <f t="shared" si="29"/>
        <v>0</v>
      </c>
    </row>
    <row r="173" spans="1:32" ht="15" customHeight="1" x14ac:dyDescent="0.25">
      <c r="A173" s="575"/>
      <c r="B173" s="564"/>
      <c r="C173" s="432"/>
      <c r="D173" s="433"/>
      <c r="E173" s="438"/>
      <c r="F173" s="216" t="str">
        <f t="shared" si="30"/>
        <v/>
      </c>
      <c r="G173" s="451"/>
      <c r="H173" s="217" t="str">
        <f>IF(AND(E173="",G173=""),"",SUM(F173:G175))</f>
        <v/>
      </c>
      <c r="I173" s="218"/>
      <c r="J173" s="259"/>
      <c r="K173" s="259"/>
      <c r="L173" s="226" t="str">
        <f>IF(J173="Duplex",VLOOKUP(M173,'Características dos Cabos MX'!$C$12:$I$14,7),(IF(J173="Triplex",VLOOKUP(M173,'Características dos Cabos MX'!$C$15:$J$20,8),(IF(J173="Quadruplex",VLOOKUP(M173,'Características dos Cabos MX'!$C$21:$K$27,9),(IF(J173="13",VLOOKUP(M173,'Características dos Cabos MX'!$C$15:$L$20,10),"")))))))</f>
        <v/>
      </c>
      <c r="M173" s="410" t="str">
        <f t="shared" si="46"/>
        <v/>
      </c>
      <c r="N173" s="444"/>
      <c r="O173" s="219" t="str">
        <f t="shared" si="42"/>
        <v/>
      </c>
      <c r="P173" s="220" t="str">
        <f t="shared" si="51"/>
        <v/>
      </c>
      <c r="Q173" s="220" t="str">
        <f t="shared" si="47"/>
        <v/>
      </c>
      <c r="R173" s="221" t="str">
        <f>IF(J173="Duplex",VLOOKUP(M173,'Características dos Cabos MX'!$C$12:$I$14,5),(IF(J173="Triplex",VLOOKUP(M173,'Características dos Cabos MX'!$C$15:$J$20,5),(IF(J173="Quadruplex",VLOOKUP(M173,'Características dos Cabos MX'!$C$21:$K$27,5),(IF(J173="13",VLOOKUP(M173,'Características dos Cabos MX'!$C$15:$L$20,5),"")))))))</f>
        <v/>
      </c>
      <c r="S173" s="221" t="str">
        <f>IF(J173="Duplex",VLOOKUP(M173,'Características dos Cabos MX'!$C$12:$I$14,6),(IF(J173="Triplex",VLOOKUP(M173,'Características dos Cabos MX'!$C$15:$J$20,6),(IF(J173="Quadruplex",VLOOKUP(M173,'Características dos Cabos MX'!$C$21:$K$27,6),(IF(J173="13",VLOOKUP(M173,'Características dos Cabos MX'!$C$15:$L$20,6),"")))))))</f>
        <v/>
      </c>
      <c r="T173" s="222" t="str">
        <f t="shared" si="33"/>
        <v/>
      </c>
      <c r="U173" s="223" t="str">
        <f>IF(J173="Duplex",VLOOKUP(M173,'Características dos Cabos MX'!$C$12:$I$14,2),(IF(J173="Triplex",VLOOKUP(M173,'Características dos Cabos MX'!$C$15:$J$20,2),(IF(J173="Quadruplex",VLOOKUP(M173,'Características dos Cabos MX'!$C$21:$K$27,2),(IF(J173="13",VLOOKUP(M173,'Características dos Cabos MX'!$C$15:$L$20,2),"")))))))</f>
        <v/>
      </c>
      <c r="V173" s="221" t="str">
        <f>IF(J173="Duplex",VLOOKUP(M173,'Características dos Cabos MX'!$C$12:$I$14,3),(IF(J173="Triplex",VLOOKUP(M173,'Características dos Cabos MX'!$C$15:$J$20,3),(IF(J173="Quadruplex",VLOOKUP(M173,'Características dos Cabos MX'!$C$21:$K$27,3),(IF(J173="13",VLOOKUP(M173,'Características dos Cabos MX'!$C$15:$L$20,3),"")))))))</f>
        <v/>
      </c>
      <c r="W173" s="224" t="str">
        <f t="shared" si="34"/>
        <v/>
      </c>
      <c r="X173" s="224" t="str">
        <f t="shared" si="35"/>
        <v/>
      </c>
      <c r="Y173" s="225" t="str">
        <f t="shared" si="36"/>
        <v/>
      </c>
      <c r="AA173" s="298">
        <f t="shared" si="43"/>
        <v>0</v>
      </c>
      <c r="AB173" s="298">
        <f t="shared" si="50"/>
        <v>0</v>
      </c>
      <c r="AC173" s="284"/>
      <c r="AE173" s="299" t="str">
        <f t="shared" ref="AE173:AE195" si="52">IF(OR(E173="",$G$11=""),"",E173*$G$11*($J$11/100+1)^4)</f>
        <v/>
      </c>
      <c r="AF173" s="334">
        <f t="shared" ref="AF173:AF195" si="53">G173</f>
        <v>0</v>
      </c>
    </row>
    <row r="174" spans="1:32" ht="15" customHeight="1" x14ac:dyDescent="0.25">
      <c r="A174" s="575"/>
      <c r="B174" s="564"/>
      <c r="C174" s="432"/>
      <c r="D174" s="433"/>
      <c r="E174" s="438"/>
      <c r="F174" s="216" t="str">
        <f t="shared" ref="F174:F195" si="54">IF(OR(E174="",$G$11=""),"",E174*$G$11*($J$11/100+1)^($J$15-1))</f>
        <v/>
      </c>
      <c r="G174" s="451"/>
      <c r="H174" s="217" t="str">
        <f>IF(AND(E174="",G174=""),"",SUM(F174:G175))</f>
        <v/>
      </c>
      <c r="I174" s="218"/>
      <c r="J174" s="259"/>
      <c r="K174" s="259"/>
      <c r="L174" s="226" t="str">
        <f>IF(J174="Duplex",VLOOKUP(M174,'Características dos Cabos MX'!$C$12:$I$14,7),(IF(J174="Triplex",VLOOKUP(M174,'Características dos Cabos MX'!$C$15:$J$20,8),(IF(J174="Quadruplex",VLOOKUP(M174,'Características dos Cabos MX'!$C$21:$K$27,9),(IF(J174="13",VLOOKUP(M174,'Características dos Cabos MX'!$C$15:$L$20,10),"")))))))</f>
        <v/>
      </c>
      <c r="M174" s="410" t="str">
        <f t="shared" si="46"/>
        <v/>
      </c>
      <c r="N174" s="444"/>
      <c r="O174" s="219" t="str">
        <f t="shared" ref="O174:O195" si="55">IF(OR(N174="",L174="",H174=""),"",N174*L174*H174)</f>
        <v/>
      </c>
      <c r="P174" s="220" t="str">
        <f t="shared" si="51"/>
        <v/>
      </c>
      <c r="Q174" s="220" t="str">
        <f t="shared" si="47"/>
        <v/>
      </c>
      <c r="R174" s="221" t="str">
        <f>IF(J174="Duplex",VLOOKUP(M174,'Características dos Cabos MX'!$C$12:$I$14,5),(IF(J174="Triplex",VLOOKUP(M174,'Características dos Cabos MX'!$C$15:$J$20,5),(IF(J174="Quadruplex",VLOOKUP(M174,'Características dos Cabos MX'!$C$21:$K$27,5),(IF(J174="13",VLOOKUP(M174,'Características dos Cabos MX'!$C$15:$L$20,5),"")))))))</f>
        <v/>
      </c>
      <c r="S174" s="221" t="str">
        <f>IF(J174="Duplex",VLOOKUP(M174,'Características dos Cabos MX'!$C$12:$I$14,6),(IF(J174="Triplex",VLOOKUP(M174,'Características dos Cabos MX'!$C$15:$J$20,6),(IF(J174="Quadruplex",VLOOKUP(M174,'Características dos Cabos MX'!$C$21:$K$27,6),(IF(J174="13",VLOOKUP(M174,'Características dos Cabos MX'!$C$15:$L$20,6),"")))))))</f>
        <v/>
      </c>
      <c r="T174" s="222" t="str">
        <f t="shared" si="33"/>
        <v/>
      </c>
      <c r="U174" s="223" t="str">
        <f>IF(J174="Duplex",VLOOKUP(M174,'Características dos Cabos MX'!$C$12:$I$14,2),(IF(J174="Triplex",VLOOKUP(M174,'Características dos Cabos MX'!$C$15:$J$20,2),(IF(J174="Quadruplex",VLOOKUP(M174,'Características dos Cabos MX'!$C$21:$K$27,2),(IF(J174="13",VLOOKUP(M174,'Características dos Cabos MX'!$C$15:$L$20,2),"")))))))</f>
        <v/>
      </c>
      <c r="V174" s="221" t="str">
        <f>IF(J174="Duplex",VLOOKUP(M174,'Características dos Cabos MX'!$C$12:$I$14,3),(IF(J174="Triplex",VLOOKUP(M174,'Características dos Cabos MX'!$C$15:$J$20,3),(IF(J174="Quadruplex",VLOOKUP(M174,'Características dos Cabos MX'!$C$21:$K$27,3),(IF(J174="13",VLOOKUP(M174,'Características dos Cabos MX'!$C$15:$L$20,3),"")))))))</f>
        <v/>
      </c>
      <c r="W174" s="224" t="str">
        <f t="shared" si="34"/>
        <v/>
      </c>
      <c r="X174" s="224" t="str">
        <f t="shared" si="35"/>
        <v/>
      </c>
      <c r="Y174" s="225" t="str">
        <f t="shared" si="36"/>
        <v/>
      </c>
      <c r="AA174" s="298">
        <f t="shared" ref="AA174:AA195" si="56">D174</f>
        <v>0</v>
      </c>
      <c r="AB174" s="298">
        <f t="shared" si="50"/>
        <v>0</v>
      </c>
      <c r="AC174" s="284"/>
      <c r="AE174" s="299" t="str">
        <f t="shared" si="52"/>
        <v/>
      </c>
      <c r="AF174" s="334">
        <f t="shared" si="53"/>
        <v>0</v>
      </c>
    </row>
    <row r="175" spans="1:32" ht="15" customHeight="1" thickBot="1" x14ac:dyDescent="0.3">
      <c r="A175" s="575"/>
      <c r="B175" s="565"/>
      <c r="C175" s="434"/>
      <c r="D175" s="435"/>
      <c r="E175" s="434"/>
      <c r="F175" s="228" t="str">
        <f t="shared" si="54"/>
        <v/>
      </c>
      <c r="G175" s="452"/>
      <c r="H175" s="229" t="str">
        <f>IF(AND(E175="",G175=""),"",SUM(F175:G175))</f>
        <v/>
      </c>
      <c r="I175" s="230"/>
      <c r="J175" s="260"/>
      <c r="K175" s="260"/>
      <c r="L175" s="231" t="str">
        <f>IF(J175="Duplex",VLOOKUP(M175,'Características dos Cabos MX'!$C$12:$I$14,7),(IF(J175="Triplex",VLOOKUP(M175,'Características dos Cabos MX'!$C$15:$J$20,8),(IF(J175="Quadruplex",VLOOKUP(M175,'Características dos Cabos MX'!$C$21:$K$27,9),(IF(J175="13",VLOOKUP(M175,'Características dos Cabos MX'!$C$15:$L$20,10),"")))))))</f>
        <v/>
      </c>
      <c r="M175" s="412" t="str">
        <f t="shared" si="46"/>
        <v/>
      </c>
      <c r="N175" s="445"/>
      <c r="O175" s="232" t="str">
        <f t="shared" si="55"/>
        <v/>
      </c>
      <c r="P175" s="233" t="str">
        <f t="shared" si="51"/>
        <v/>
      </c>
      <c r="Q175" s="233" t="str">
        <f t="shared" si="47"/>
        <v/>
      </c>
      <c r="R175" s="234" t="str">
        <f>IF(J175="Duplex",VLOOKUP(M175,'Características dos Cabos MX'!$C$12:$I$14,5),(IF(J175="Triplex",VLOOKUP(M175,'Características dos Cabos MX'!$C$15:$J$20,5),(IF(J175="Quadruplex",VLOOKUP(M175,'Características dos Cabos MX'!$C$21:$K$27,5),(IF(J175="13",VLOOKUP(M175,'Características dos Cabos MX'!$C$15:$L$20,5),"")))))))</f>
        <v/>
      </c>
      <c r="S175" s="234" t="str">
        <f>IF(J175="Duplex",VLOOKUP(M175,'Características dos Cabos MX'!$C$12:$I$14,6),(IF(J175="Triplex",VLOOKUP(M175,'Características dos Cabos MX'!$C$15:$J$20,6),(IF(J175="Quadruplex",VLOOKUP(M175,'Características dos Cabos MX'!$C$21:$K$27,6),(IF(J175="13",VLOOKUP(M175,'Características dos Cabos MX'!$C$15:$L$20,6),"")))))))</f>
        <v/>
      </c>
      <c r="T175" s="235" t="str">
        <f t="shared" ref="T175:T195" si="57">IF(OR(Q175="",R175="",S175=""),"",IF(OR($L$11="PE",$L$11="pe"),Q175/R175,IF(OR($L$11="XLPE",$L$11="xlpe"),Q175/S175,"")))</f>
        <v/>
      </c>
      <c r="U175" s="236" t="str">
        <f>IF(J175="Duplex",VLOOKUP(M175,'Características dos Cabos MX'!$C$12:$I$14,2),(IF(J175="Triplex",VLOOKUP(M175,'Características dos Cabos MX'!$C$15:$J$20,2),(IF(J175="Quadruplex",VLOOKUP(M175,'Características dos Cabos MX'!$C$21:$K$27,2),(IF(J175="13",VLOOKUP(M175,'Características dos Cabos MX'!$C$15:$L$20,2),"")))))))</f>
        <v/>
      </c>
      <c r="V175" s="234" t="str">
        <f>IF(J175="Duplex",VLOOKUP(M175,'Características dos Cabos MX'!$C$12:$I$14,3),(IF(J175="Triplex",VLOOKUP(M175,'Características dos Cabos MX'!$C$15:$J$20,3),(IF(J175="Quadruplex",VLOOKUP(M175,'Características dos Cabos MX'!$C$21:$K$27,3),(IF(J175="13",VLOOKUP(M175,'Características dos Cabos MX'!$C$15:$L$20,3),"")))))))</f>
        <v/>
      </c>
      <c r="W175" s="237" t="str">
        <f t="shared" ref="W175:W195" si="58">IF(OR(O175="",$G$15="",H175="",N175=""),"",IF(J175="Quadruplex",3*$L$13*U175*O175/1000*R175^2*8.76,IF(J175="Triplex",2*$L$13*U175*O175/1000*R175^2*8.76,IF(J175="Duplex",$L$13*U175*O175/1000*R175^2*8.76))))</f>
        <v/>
      </c>
      <c r="X175" s="237" t="str">
        <f t="shared" ref="X175:X195" si="59">IF(OR(O175="",$G$15="",H175="",N175=""),"",IF(J175="Quadruplex",3*$L$13*V175*O175/1000*R175^2*8.76,IF(J175="triplex",2*$L$13*V175*O175/1000*R175^2*8.76,IF(J175="Duplex",$L$13*V175*O175/1000*R175^2*8.76))))</f>
        <v/>
      </c>
      <c r="Y175" s="238" t="str">
        <f t="shared" ref="Y175:Y195" si="60">IF(OR(V175="",W175="",X175=""),"",IF($L$11="PE",W175,IF($L$11="XLPE",X175,"")))</f>
        <v/>
      </c>
      <c r="AA175" s="298">
        <f t="shared" si="56"/>
        <v>0</v>
      </c>
      <c r="AB175" s="298">
        <f t="shared" si="50"/>
        <v>0</v>
      </c>
      <c r="AC175" s="284"/>
      <c r="AE175" s="299" t="str">
        <f t="shared" si="52"/>
        <v/>
      </c>
      <c r="AF175" s="334">
        <f t="shared" si="53"/>
        <v>0</v>
      </c>
    </row>
    <row r="176" spans="1:32" ht="15" customHeight="1" thickTop="1" x14ac:dyDescent="0.25">
      <c r="A176" s="575"/>
      <c r="B176" s="563" t="str">
        <f>CONCATENATE("Ramal 14 - Derivando no ponto ",C176)</f>
        <v xml:space="preserve">Ramal 14 - Derivando no ponto </v>
      </c>
      <c r="C176" s="431"/>
      <c r="D176" s="436"/>
      <c r="E176" s="440"/>
      <c r="F176" s="239" t="str">
        <f t="shared" si="54"/>
        <v/>
      </c>
      <c r="G176" s="453"/>
      <c r="H176" s="240" t="str">
        <f>IF(AND(E176="",G176=""),"",SUM(F176:G185))</f>
        <v/>
      </c>
      <c r="I176" s="241"/>
      <c r="J176" s="262"/>
      <c r="K176" s="262"/>
      <c r="L176" s="242" t="str">
        <f>IF(J176="Duplex",VLOOKUP(M176,'Características dos Cabos MX'!$C$12:$I$14,7),(IF(J176="Triplex",VLOOKUP(M176,'Características dos Cabos MX'!$C$15:$J$20,8),(IF(J176="Quadruplex",VLOOKUP(M176,'Características dos Cabos MX'!$C$21:$K$27,9),(IF(J176="13",VLOOKUP(M176,'Características dos Cabos MX'!$C$15:$L$20,10),"")))))))</f>
        <v/>
      </c>
      <c r="M176" s="413" t="str">
        <f t="shared" si="46"/>
        <v/>
      </c>
      <c r="N176" s="446"/>
      <c r="O176" s="243" t="str">
        <f t="shared" si="55"/>
        <v/>
      </c>
      <c r="P176" s="244" t="str">
        <f>IF(O176="","",O176+VLOOKUP(C176,$D$20:$Q$176,13,FALSE))</f>
        <v/>
      </c>
      <c r="Q176" s="244" t="str">
        <f t="shared" si="47"/>
        <v/>
      </c>
      <c r="R176" s="245" t="str">
        <f>IF(J176="Duplex",VLOOKUP(M176,'Características dos Cabos MX'!$C$12:$I$14,5),(IF(J176="Triplex",VLOOKUP(M176,'Características dos Cabos MX'!$C$15:$J$20,5),(IF(J176="Quadruplex",VLOOKUP(M176,'Características dos Cabos MX'!$C$21:$K$27,5),(IF(J176="13",VLOOKUP(M176,'Características dos Cabos MX'!$C$15:$L$20,5),"")))))))</f>
        <v/>
      </c>
      <c r="S176" s="245" t="str">
        <f>IF(J176="Duplex",VLOOKUP(M176,'Características dos Cabos MX'!$C$12:$I$14,6),(IF(J176="Triplex",VLOOKUP(M176,'Características dos Cabos MX'!$C$15:$J$20,6),(IF(J176="Quadruplex",VLOOKUP(M176,'Características dos Cabos MX'!$C$21:$K$27,6),(IF(J176="13",VLOOKUP(M176,'Características dos Cabos MX'!$C$15:$L$20,6),"")))))))</f>
        <v/>
      </c>
      <c r="T176" s="246" t="str">
        <f t="shared" si="57"/>
        <v/>
      </c>
      <c r="U176" s="247" t="str">
        <f>IF(J176="Duplex",VLOOKUP(M176,'Características dos Cabos MX'!$C$12:$I$14,2),(IF(J176="Triplex",VLOOKUP(M176,'Características dos Cabos MX'!$C$15:$J$20,2),(IF(J176="Quadruplex",VLOOKUP(M176,'Características dos Cabos MX'!$C$21:$K$27,2),(IF(J176="13",VLOOKUP(M176,'Características dos Cabos MX'!$C$15:$L$20,2),"")))))))</f>
        <v/>
      </c>
      <c r="V176" s="245" t="str">
        <f>IF(J176="Duplex",VLOOKUP(M176,'Características dos Cabos MX'!$C$12:$I$14,3),(IF(J176="Triplex",VLOOKUP(M176,'Características dos Cabos MX'!$C$15:$J$20,3),(IF(J176="Quadruplex",VLOOKUP(M176,'Características dos Cabos MX'!$C$21:$K$27,3),(IF(J176="13",VLOOKUP(M176,'Características dos Cabos MX'!$C$15:$L$20,3),"")))))))</f>
        <v/>
      </c>
      <c r="W176" s="248" t="str">
        <f t="shared" si="58"/>
        <v/>
      </c>
      <c r="X176" s="248" t="str">
        <f t="shared" si="59"/>
        <v/>
      </c>
      <c r="Y176" s="249" t="str">
        <f t="shared" si="60"/>
        <v/>
      </c>
      <c r="Z176" s="121" t="str">
        <f>IF(O176="","",O176+VLOOKUP(C176,$D$20:$P$44,13,FALSE))</f>
        <v/>
      </c>
      <c r="AA176" s="298">
        <f t="shared" si="56"/>
        <v>0</v>
      </c>
      <c r="AB176" s="298">
        <f t="shared" ref="AB176:AB185" si="61">K176</f>
        <v>0</v>
      </c>
      <c r="AC176" s="284"/>
      <c r="AE176" s="299" t="str">
        <f t="shared" si="52"/>
        <v/>
      </c>
      <c r="AF176" s="334">
        <f t="shared" si="53"/>
        <v>0</v>
      </c>
    </row>
    <row r="177" spans="1:32" ht="15" customHeight="1" x14ac:dyDescent="0.25">
      <c r="A177" s="575"/>
      <c r="B177" s="564"/>
      <c r="C177" s="432"/>
      <c r="D177" s="433"/>
      <c r="E177" s="438"/>
      <c r="F177" s="216" t="str">
        <f t="shared" si="54"/>
        <v/>
      </c>
      <c r="G177" s="451"/>
      <c r="H177" s="217" t="str">
        <f>IF(AND(E177="",G177=""),"",SUM(F177:G185))</f>
        <v/>
      </c>
      <c r="I177" s="218"/>
      <c r="J177" s="259"/>
      <c r="K177" s="259"/>
      <c r="L177" s="226" t="str">
        <f>IF(J177="Duplex",VLOOKUP(M177,'Características dos Cabos MX'!$C$12:$I$14,7),(IF(J177="Triplex",VLOOKUP(M177,'Características dos Cabos MX'!$C$15:$J$20,8),(IF(J177="Quadruplex",VLOOKUP(M177,'Características dos Cabos MX'!$C$21:$K$27,9),(IF(J177="13",VLOOKUP(M177,'Características dos Cabos MX'!$C$15:$L$20,10),"")))))))</f>
        <v/>
      </c>
      <c r="M177" s="410" t="str">
        <f t="shared" si="46"/>
        <v/>
      </c>
      <c r="N177" s="444"/>
      <c r="O177" s="219" t="str">
        <f t="shared" si="55"/>
        <v/>
      </c>
      <c r="P177" s="220" t="str">
        <f t="shared" ref="P177:P185" si="62">IF(O177="","",P176+O177)</f>
        <v/>
      </c>
      <c r="Q177" s="220" t="str">
        <f t="shared" si="47"/>
        <v/>
      </c>
      <c r="R177" s="221" t="str">
        <f>IF(J177="Duplex",VLOOKUP(M177,'Características dos Cabos MX'!$C$12:$I$14,5),(IF(J177="Triplex",VLOOKUP(M177,'Características dos Cabos MX'!$C$15:$J$20,5),(IF(J177="Quadruplex",VLOOKUP(M177,'Características dos Cabos MX'!$C$21:$K$27,5),(IF(J177="13",VLOOKUP(M177,'Características dos Cabos MX'!$C$15:$L$20,5),"")))))))</f>
        <v/>
      </c>
      <c r="S177" s="221" t="str">
        <f>IF(J177="Duplex",VLOOKUP(M177,'Características dos Cabos MX'!$C$12:$I$14,6),(IF(J177="Triplex",VLOOKUP(M177,'Características dos Cabos MX'!$C$15:$J$20,6),(IF(J177="Quadruplex",VLOOKUP(M177,'Características dos Cabos MX'!$C$21:$K$27,6),(IF(J177="13",VLOOKUP(M177,'Características dos Cabos MX'!$C$15:$L$20,6),"")))))))</f>
        <v/>
      </c>
      <c r="T177" s="222" t="str">
        <f t="shared" si="57"/>
        <v/>
      </c>
      <c r="U177" s="223" t="str">
        <f>IF(J177="Duplex",VLOOKUP(M177,'Características dos Cabos MX'!$C$12:$I$14,2),(IF(J177="Triplex",VLOOKUP(M177,'Características dos Cabos MX'!$C$15:$J$20,2),(IF(J177="Quadruplex",VLOOKUP(M177,'Características dos Cabos MX'!$C$21:$K$27,2),(IF(J177="13",VLOOKUP(M177,'Características dos Cabos MX'!$C$15:$L$20,2),"")))))))</f>
        <v/>
      </c>
      <c r="V177" s="221" t="str">
        <f>IF(J177="Duplex",VLOOKUP(M177,'Características dos Cabos MX'!$C$12:$I$14,3),(IF(J177="Triplex",VLOOKUP(M177,'Características dos Cabos MX'!$C$15:$J$20,3),(IF(J177="Quadruplex",VLOOKUP(M177,'Características dos Cabos MX'!$C$21:$K$27,3),(IF(J177="13",VLOOKUP(M177,'Características dos Cabos MX'!$C$15:$L$20,3),"")))))))</f>
        <v/>
      </c>
      <c r="W177" s="224" t="str">
        <f t="shared" si="58"/>
        <v/>
      </c>
      <c r="X177" s="224" t="str">
        <f t="shared" si="59"/>
        <v/>
      </c>
      <c r="Y177" s="225" t="str">
        <f t="shared" si="60"/>
        <v/>
      </c>
      <c r="AA177" s="298">
        <f t="shared" si="56"/>
        <v>0</v>
      </c>
      <c r="AB177" s="298">
        <f t="shared" si="61"/>
        <v>0</v>
      </c>
      <c r="AC177" s="284"/>
      <c r="AE177" s="299" t="str">
        <f t="shared" si="52"/>
        <v/>
      </c>
      <c r="AF177" s="334">
        <f t="shared" si="53"/>
        <v>0</v>
      </c>
    </row>
    <row r="178" spans="1:32" ht="15" customHeight="1" x14ac:dyDescent="0.25">
      <c r="A178" s="575"/>
      <c r="B178" s="564"/>
      <c r="C178" s="432"/>
      <c r="D178" s="433"/>
      <c r="E178" s="438"/>
      <c r="F178" s="216" t="str">
        <f t="shared" si="54"/>
        <v/>
      </c>
      <c r="G178" s="451"/>
      <c r="H178" s="217" t="str">
        <f>IF(AND(E178="",G178=""),"",SUM(F178:G185))</f>
        <v/>
      </c>
      <c r="I178" s="218"/>
      <c r="J178" s="259"/>
      <c r="K178" s="259"/>
      <c r="L178" s="226" t="str">
        <f>IF(J178="Duplex",VLOOKUP(M178,'Características dos Cabos MX'!$C$12:$I$14,7),(IF(J178="Triplex",VLOOKUP(M178,'Características dos Cabos MX'!$C$15:$J$20,8),(IF(J178="Quadruplex",VLOOKUP(M178,'Características dos Cabos MX'!$C$21:$K$27,9),(IF(J178="13",VLOOKUP(M178,'Características dos Cabos MX'!$C$15:$L$20,10),"")))))))</f>
        <v/>
      </c>
      <c r="M178" s="410" t="str">
        <f t="shared" si="46"/>
        <v/>
      </c>
      <c r="N178" s="444"/>
      <c r="O178" s="219" t="str">
        <f t="shared" si="55"/>
        <v/>
      </c>
      <c r="P178" s="220" t="str">
        <f t="shared" si="62"/>
        <v/>
      </c>
      <c r="Q178" s="220" t="str">
        <f t="shared" si="47"/>
        <v/>
      </c>
      <c r="R178" s="221" t="str">
        <f>IF(J178="Duplex",VLOOKUP(M178,'Características dos Cabos MX'!$C$12:$I$14,5),(IF(J178="Triplex",VLOOKUP(M178,'Características dos Cabos MX'!$C$15:$J$20,5),(IF(J178="Quadruplex",VLOOKUP(M178,'Características dos Cabos MX'!$C$21:$K$27,5),(IF(J178="13",VLOOKUP(M178,'Características dos Cabos MX'!$C$15:$L$20,5),"")))))))</f>
        <v/>
      </c>
      <c r="S178" s="221" t="str">
        <f>IF(J178="Duplex",VLOOKUP(M178,'Características dos Cabos MX'!$C$12:$I$14,6),(IF(J178="Triplex",VLOOKUP(M178,'Características dos Cabos MX'!$C$15:$J$20,6),(IF(J178="Quadruplex",VLOOKUP(M178,'Características dos Cabos MX'!$C$21:$K$27,6),(IF(J178="13",VLOOKUP(M178,'Características dos Cabos MX'!$C$15:$L$20,6),"")))))))</f>
        <v/>
      </c>
      <c r="T178" s="222" t="str">
        <f t="shared" si="57"/>
        <v/>
      </c>
      <c r="U178" s="223" t="str">
        <f>IF(J178="Duplex",VLOOKUP(M178,'Características dos Cabos MX'!$C$12:$I$14,2),(IF(J178="Triplex",VLOOKUP(M178,'Características dos Cabos MX'!$C$15:$J$20,2),(IF(J178="Quadruplex",VLOOKUP(M178,'Características dos Cabos MX'!$C$21:$K$27,2),(IF(J178="13",VLOOKUP(M178,'Características dos Cabos MX'!$C$15:$L$20,2),"")))))))</f>
        <v/>
      </c>
      <c r="V178" s="221" t="str">
        <f>IF(J178="Duplex",VLOOKUP(M178,'Características dos Cabos MX'!$C$12:$I$14,3),(IF(J178="Triplex",VLOOKUP(M178,'Características dos Cabos MX'!$C$15:$J$20,3),(IF(J178="Quadruplex",VLOOKUP(M178,'Características dos Cabos MX'!$C$21:$K$27,3),(IF(J178="13",VLOOKUP(M178,'Características dos Cabos MX'!$C$15:$L$20,3),"")))))))</f>
        <v/>
      </c>
      <c r="W178" s="224" t="str">
        <f t="shared" si="58"/>
        <v/>
      </c>
      <c r="X178" s="224" t="str">
        <f t="shared" si="59"/>
        <v/>
      </c>
      <c r="Y178" s="225" t="str">
        <f t="shared" si="60"/>
        <v/>
      </c>
      <c r="AA178" s="298">
        <f t="shared" si="56"/>
        <v>0</v>
      </c>
      <c r="AB178" s="298">
        <f t="shared" si="61"/>
        <v>0</v>
      </c>
      <c r="AC178" s="284"/>
      <c r="AE178" s="299" t="str">
        <f t="shared" si="52"/>
        <v/>
      </c>
      <c r="AF178" s="334">
        <f t="shared" si="53"/>
        <v>0</v>
      </c>
    </row>
    <row r="179" spans="1:32" ht="15" customHeight="1" x14ac:dyDescent="0.25">
      <c r="A179" s="575"/>
      <c r="B179" s="564"/>
      <c r="C179" s="432"/>
      <c r="D179" s="433"/>
      <c r="E179" s="438"/>
      <c r="F179" s="216" t="str">
        <f t="shared" si="54"/>
        <v/>
      </c>
      <c r="G179" s="451"/>
      <c r="H179" s="217" t="str">
        <f>IF(AND(E179="",G179=""),"",SUM(F179:G185))</f>
        <v/>
      </c>
      <c r="I179" s="218"/>
      <c r="J179" s="259"/>
      <c r="K179" s="259"/>
      <c r="L179" s="226" t="str">
        <f>IF(J179="Duplex",VLOOKUP(M179,'Características dos Cabos MX'!$C$12:$I$14,7),(IF(J179="Triplex",VLOOKUP(M179,'Características dos Cabos MX'!$C$15:$J$20,8),(IF(J179="Quadruplex",VLOOKUP(M179,'Características dos Cabos MX'!$C$21:$K$27,9),(IF(J179="13",VLOOKUP(M179,'Características dos Cabos MX'!$C$15:$L$20,10),"")))))))</f>
        <v/>
      </c>
      <c r="M179" s="410" t="str">
        <f t="shared" si="46"/>
        <v/>
      </c>
      <c r="N179" s="444"/>
      <c r="O179" s="219" t="str">
        <f t="shared" si="55"/>
        <v/>
      </c>
      <c r="P179" s="220" t="str">
        <f t="shared" si="62"/>
        <v/>
      </c>
      <c r="Q179" s="220" t="str">
        <f t="shared" si="47"/>
        <v/>
      </c>
      <c r="R179" s="221" t="str">
        <f>IF(J179="Duplex",VLOOKUP(M179,'Características dos Cabos MX'!$C$12:$I$14,5),(IF(J179="Triplex",VLOOKUP(M179,'Características dos Cabos MX'!$C$15:$J$20,5),(IF(J179="Quadruplex",VLOOKUP(M179,'Características dos Cabos MX'!$C$21:$K$27,5),(IF(J179="13",VLOOKUP(M179,'Características dos Cabos MX'!$C$15:$L$20,5),"")))))))</f>
        <v/>
      </c>
      <c r="S179" s="221" t="str">
        <f>IF(J179="Duplex",VLOOKUP(M179,'Características dos Cabos MX'!$C$12:$I$14,6),(IF(J179="Triplex",VLOOKUP(M179,'Características dos Cabos MX'!$C$15:$J$20,6),(IF(J179="Quadruplex",VLOOKUP(M179,'Características dos Cabos MX'!$C$21:$K$27,6),(IF(J179="13",VLOOKUP(M179,'Características dos Cabos MX'!$C$15:$L$20,6),"")))))))</f>
        <v/>
      </c>
      <c r="T179" s="222" t="str">
        <f t="shared" si="57"/>
        <v/>
      </c>
      <c r="U179" s="223" t="str">
        <f>IF(J179="Duplex",VLOOKUP(M179,'Características dos Cabos MX'!$C$12:$I$14,2),(IF(J179="Triplex",VLOOKUP(M179,'Características dos Cabos MX'!$C$15:$J$20,2),(IF(J179="Quadruplex",VLOOKUP(M179,'Características dos Cabos MX'!$C$21:$K$27,2),(IF(J179="13",VLOOKUP(M179,'Características dos Cabos MX'!$C$15:$L$20,2),"")))))))</f>
        <v/>
      </c>
      <c r="V179" s="221" t="str">
        <f>IF(J179="Duplex",VLOOKUP(M179,'Características dos Cabos MX'!$C$12:$I$14,3),(IF(J179="Triplex",VLOOKUP(M179,'Características dos Cabos MX'!$C$15:$J$20,3),(IF(J179="Quadruplex",VLOOKUP(M179,'Características dos Cabos MX'!$C$21:$K$27,3),(IF(J179="13",VLOOKUP(M179,'Características dos Cabos MX'!$C$15:$L$20,3),"")))))))</f>
        <v/>
      </c>
      <c r="W179" s="224" t="str">
        <f t="shared" si="58"/>
        <v/>
      </c>
      <c r="X179" s="224" t="str">
        <f t="shared" si="59"/>
        <v/>
      </c>
      <c r="Y179" s="225" t="str">
        <f t="shared" si="60"/>
        <v/>
      </c>
      <c r="AA179" s="298">
        <f t="shared" si="56"/>
        <v>0</v>
      </c>
      <c r="AB179" s="298">
        <f t="shared" si="61"/>
        <v>0</v>
      </c>
      <c r="AC179" s="284"/>
      <c r="AE179" s="299" t="str">
        <f t="shared" si="52"/>
        <v/>
      </c>
      <c r="AF179" s="334">
        <f t="shared" si="53"/>
        <v>0</v>
      </c>
    </row>
    <row r="180" spans="1:32" ht="15" customHeight="1" x14ac:dyDescent="0.25">
      <c r="A180" s="575"/>
      <c r="B180" s="564"/>
      <c r="C180" s="432"/>
      <c r="D180" s="433"/>
      <c r="E180" s="438"/>
      <c r="F180" s="216" t="str">
        <f t="shared" si="54"/>
        <v/>
      </c>
      <c r="G180" s="451"/>
      <c r="H180" s="217" t="str">
        <f>IF(AND(E180="",G180=""),"",SUM(F180:G185))</f>
        <v/>
      </c>
      <c r="I180" s="218"/>
      <c r="J180" s="259"/>
      <c r="K180" s="259"/>
      <c r="L180" s="226" t="str">
        <f>IF(J180="Duplex",VLOOKUP(M180,'Características dos Cabos MX'!$C$12:$I$14,7),(IF(J180="Triplex",VLOOKUP(M180,'Características dos Cabos MX'!$C$15:$J$20,8),(IF(J180="Quadruplex",VLOOKUP(M180,'Características dos Cabos MX'!$C$21:$K$27,9),(IF(J180="13",VLOOKUP(M180,'Características dos Cabos MX'!$C$15:$L$20,10),"")))))))</f>
        <v/>
      </c>
      <c r="M180" s="410" t="str">
        <f t="shared" si="46"/>
        <v/>
      </c>
      <c r="N180" s="444"/>
      <c r="O180" s="219" t="str">
        <f t="shared" si="55"/>
        <v/>
      </c>
      <c r="P180" s="220" t="str">
        <f t="shared" si="62"/>
        <v/>
      </c>
      <c r="Q180" s="220" t="str">
        <f t="shared" si="47"/>
        <v/>
      </c>
      <c r="R180" s="221" t="str">
        <f>IF(J180="Duplex",VLOOKUP(M180,'Características dos Cabos MX'!$C$12:$I$14,5),(IF(J180="Triplex",VLOOKUP(M180,'Características dos Cabos MX'!$C$15:$J$20,5),(IF(J180="Quadruplex",VLOOKUP(M180,'Características dos Cabos MX'!$C$21:$K$27,5),(IF(J180="13",VLOOKUP(M180,'Características dos Cabos MX'!$C$15:$L$20,5),"")))))))</f>
        <v/>
      </c>
      <c r="S180" s="221" t="str">
        <f>IF(J180="Duplex",VLOOKUP(M180,'Características dos Cabos MX'!$C$12:$I$14,6),(IF(J180="Triplex",VLOOKUP(M180,'Características dos Cabos MX'!$C$15:$J$20,6),(IF(J180="Quadruplex",VLOOKUP(M180,'Características dos Cabos MX'!$C$21:$K$27,6),(IF(J180="13",VLOOKUP(M180,'Características dos Cabos MX'!$C$15:$L$20,6),"")))))))</f>
        <v/>
      </c>
      <c r="T180" s="222" t="str">
        <f t="shared" si="57"/>
        <v/>
      </c>
      <c r="U180" s="223" t="str">
        <f>IF(J180="Duplex",VLOOKUP(M180,'Características dos Cabos MX'!$C$12:$I$14,2),(IF(J180="Triplex",VLOOKUP(M180,'Características dos Cabos MX'!$C$15:$J$20,2),(IF(J180="Quadruplex",VLOOKUP(M180,'Características dos Cabos MX'!$C$21:$K$27,2),(IF(J180="13",VLOOKUP(M180,'Características dos Cabos MX'!$C$15:$L$20,2),"")))))))</f>
        <v/>
      </c>
      <c r="V180" s="221" t="str">
        <f>IF(J180="Duplex",VLOOKUP(M180,'Características dos Cabos MX'!$C$12:$I$14,3),(IF(J180="Triplex",VLOOKUP(M180,'Características dos Cabos MX'!$C$15:$J$20,3),(IF(J180="Quadruplex",VLOOKUP(M180,'Características dos Cabos MX'!$C$21:$K$27,3),(IF(J180="13",VLOOKUP(M180,'Características dos Cabos MX'!$C$15:$L$20,3),"")))))))</f>
        <v/>
      </c>
      <c r="W180" s="224" t="str">
        <f t="shared" si="58"/>
        <v/>
      </c>
      <c r="X180" s="224" t="str">
        <f t="shared" si="59"/>
        <v/>
      </c>
      <c r="Y180" s="225" t="str">
        <f t="shared" si="60"/>
        <v/>
      </c>
      <c r="AA180" s="298">
        <f t="shared" si="56"/>
        <v>0</v>
      </c>
      <c r="AB180" s="298">
        <f t="shared" si="61"/>
        <v>0</v>
      </c>
      <c r="AC180" s="284"/>
      <c r="AE180" s="299" t="str">
        <f t="shared" si="52"/>
        <v/>
      </c>
      <c r="AF180" s="334">
        <f t="shared" si="53"/>
        <v>0</v>
      </c>
    </row>
    <row r="181" spans="1:32" ht="15" customHeight="1" x14ac:dyDescent="0.25">
      <c r="A181" s="575"/>
      <c r="B181" s="564"/>
      <c r="C181" s="432"/>
      <c r="D181" s="433"/>
      <c r="E181" s="438"/>
      <c r="F181" s="216" t="str">
        <f t="shared" si="54"/>
        <v/>
      </c>
      <c r="G181" s="451"/>
      <c r="H181" s="217" t="str">
        <f>IF(AND(E181="",G181=""),"",SUM(F181:G185))</f>
        <v/>
      </c>
      <c r="I181" s="218"/>
      <c r="J181" s="259"/>
      <c r="K181" s="259"/>
      <c r="L181" s="226" t="str">
        <f>IF(J181="Duplex",VLOOKUP(M181,'Características dos Cabos MX'!$C$12:$I$14,7),(IF(J181="Triplex",VLOOKUP(M181,'Características dos Cabos MX'!$C$15:$J$20,8),(IF(J181="Quadruplex",VLOOKUP(M181,'Características dos Cabos MX'!$C$21:$K$27,9),(IF(J181="13",VLOOKUP(M181,'Características dos Cabos MX'!$C$15:$L$20,10),"")))))))</f>
        <v/>
      </c>
      <c r="M181" s="410" t="str">
        <f t="shared" si="46"/>
        <v/>
      </c>
      <c r="N181" s="444"/>
      <c r="O181" s="219" t="str">
        <f t="shared" si="55"/>
        <v/>
      </c>
      <c r="P181" s="220" t="str">
        <f t="shared" si="62"/>
        <v/>
      </c>
      <c r="Q181" s="220" t="str">
        <f t="shared" si="47"/>
        <v/>
      </c>
      <c r="R181" s="221" t="str">
        <f>IF(J181="Duplex",VLOOKUP(M181,'Características dos Cabos MX'!$C$12:$I$14,5),(IF(J181="Triplex",VLOOKUP(M181,'Características dos Cabos MX'!$C$15:$J$20,5),(IF(J181="Quadruplex",VLOOKUP(M181,'Características dos Cabos MX'!$C$21:$K$27,5),(IF(J181="13",VLOOKUP(M181,'Características dos Cabos MX'!$C$15:$L$20,5),"")))))))</f>
        <v/>
      </c>
      <c r="S181" s="221" t="str">
        <f>IF(J181="Duplex",VLOOKUP(M181,'Características dos Cabos MX'!$C$12:$I$14,6),(IF(J181="Triplex",VLOOKUP(M181,'Características dos Cabos MX'!$C$15:$J$20,6),(IF(J181="Quadruplex",VLOOKUP(M181,'Características dos Cabos MX'!$C$21:$K$27,6),(IF(J181="13",VLOOKUP(M181,'Características dos Cabos MX'!$C$15:$L$20,6),"")))))))</f>
        <v/>
      </c>
      <c r="T181" s="222" t="str">
        <f t="shared" si="57"/>
        <v/>
      </c>
      <c r="U181" s="223" t="str">
        <f>IF(J181="Duplex",VLOOKUP(M181,'Características dos Cabos MX'!$C$12:$I$14,2),(IF(J181="Triplex",VLOOKUP(M181,'Características dos Cabos MX'!$C$15:$J$20,2),(IF(J181="Quadruplex",VLOOKUP(M181,'Características dos Cabos MX'!$C$21:$K$27,2),(IF(J181="13",VLOOKUP(M181,'Características dos Cabos MX'!$C$15:$L$20,2),"")))))))</f>
        <v/>
      </c>
      <c r="V181" s="221" t="str">
        <f>IF(J181="Duplex",VLOOKUP(M181,'Características dos Cabos MX'!$C$12:$I$14,3),(IF(J181="Triplex",VLOOKUP(M181,'Características dos Cabos MX'!$C$15:$J$20,3),(IF(J181="Quadruplex",VLOOKUP(M181,'Características dos Cabos MX'!$C$21:$K$27,3),(IF(J181="13",VLOOKUP(M181,'Características dos Cabos MX'!$C$15:$L$20,3),"")))))))</f>
        <v/>
      </c>
      <c r="W181" s="224" t="str">
        <f t="shared" si="58"/>
        <v/>
      </c>
      <c r="X181" s="224" t="str">
        <f t="shared" si="59"/>
        <v/>
      </c>
      <c r="Y181" s="225" t="str">
        <f t="shared" si="60"/>
        <v/>
      </c>
      <c r="AA181" s="298">
        <f t="shared" si="56"/>
        <v>0</v>
      </c>
      <c r="AB181" s="298">
        <f t="shared" si="61"/>
        <v>0</v>
      </c>
      <c r="AC181" s="284"/>
      <c r="AE181" s="299" t="str">
        <f t="shared" si="52"/>
        <v/>
      </c>
      <c r="AF181" s="334">
        <f t="shared" si="53"/>
        <v>0</v>
      </c>
    </row>
    <row r="182" spans="1:32" ht="15" customHeight="1" x14ac:dyDescent="0.25">
      <c r="A182" s="575"/>
      <c r="B182" s="564"/>
      <c r="C182" s="432"/>
      <c r="D182" s="433"/>
      <c r="E182" s="438"/>
      <c r="F182" s="216" t="str">
        <f t="shared" si="54"/>
        <v/>
      </c>
      <c r="G182" s="451"/>
      <c r="H182" s="217" t="str">
        <f>IF(AND(E182="",G182=""),"",SUM(F182:G185))</f>
        <v/>
      </c>
      <c r="I182" s="218"/>
      <c r="J182" s="259"/>
      <c r="K182" s="259"/>
      <c r="L182" s="226" t="str">
        <f>IF(J182="Duplex",VLOOKUP(M182,'Características dos Cabos MX'!$C$12:$I$14,7),(IF(J182="Triplex",VLOOKUP(M182,'Características dos Cabos MX'!$C$15:$J$20,8),(IF(J182="Quadruplex",VLOOKUP(M182,'Características dos Cabos MX'!$C$21:$K$27,9),(IF(J182="13",VLOOKUP(M182,'Características dos Cabos MX'!$C$15:$L$20,10),"")))))))</f>
        <v/>
      </c>
      <c r="M182" s="410" t="str">
        <f t="shared" si="46"/>
        <v/>
      </c>
      <c r="N182" s="444"/>
      <c r="O182" s="219" t="str">
        <f t="shared" si="55"/>
        <v/>
      </c>
      <c r="P182" s="220" t="str">
        <f t="shared" si="62"/>
        <v/>
      </c>
      <c r="Q182" s="220" t="str">
        <f t="shared" si="47"/>
        <v/>
      </c>
      <c r="R182" s="221" t="str">
        <f>IF(J182="Duplex",VLOOKUP(M182,'Características dos Cabos MX'!$C$12:$I$14,5),(IF(J182="Triplex",VLOOKUP(M182,'Características dos Cabos MX'!$C$15:$J$20,5),(IF(J182="Quadruplex",VLOOKUP(M182,'Características dos Cabos MX'!$C$21:$K$27,5),(IF(J182="13",VLOOKUP(M182,'Características dos Cabos MX'!$C$15:$L$20,5),"")))))))</f>
        <v/>
      </c>
      <c r="S182" s="221" t="str">
        <f>IF(J182="Duplex",VLOOKUP(M182,'Características dos Cabos MX'!$C$12:$I$14,6),(IF(J182="Triplex",VLOOKUP(M182,'Características dos Cabos MX'!$C$15:$J$20,6),(IF(J182="Quadruplex",VLOOKUP(M182,'Características dos Cabos MX'!$C$21:$K$27,6),(IF(J182="13",VLOOKUP(M182,'Características dos Cabos MX'!$C$15:$L$20,6),"")))))))</f>
        <v/>
      </c>
      <c r="T182" s="222" t="str">
        <f t="shared" si="57"/>
        <v/>
      </c>
      <c r="U182" s="223" t="str">
        <f>IF(J182="Duplex",VLOOKUP(M182,'Características dos Cabos MX'!$C$12:$I$14,2),(IF(J182="Triplex",VLOOKUP(M182,'Características dos Cabos MX'!$C$15:$J$20,2),(IF(J182="Quadruplex",VLOOKUP(M182,'Características dos Cabos MX'!$C$21:$K$27,2),(IF(J182="13",VLOOKUP(M182,'Características dos Cabos MX'!$C$15:$L$20,2),"")))))))</f>
        <v/>
      </c>
      <c r="V182" s="221" t="str">
        <f>IF(J182="Duplex",VLOOKUP(M182,'Características dos Cabos MX'!$C$12:$I$14,3),(IF(J182="Triplex",VLOOKUP(M182,'Características dos Cabos MX'!$C$15:$J$20,3),(IF(J182="Quadruplex",VLOOKUP(M182,'Características dos Cabos MX'!$C$21:$K$27,3),(IF(J182="13",VLOOKUP(M182,'Características dos Cabos MX'!$C$15:$L$20,3),"")))))))</f>
        <v/>
      </c>
      <c r="W182" s="224" t="str">
        <f t="shared" si="58"/>
        <v/>
      </c>
      <c r="X182" s="224" t="str">
        <f t="shared" si="59"/>
        <v/>
      </c>
      <c r="Y182" s="225" t="str">
        <f t="shared" si="60"/>
        <v/>
      </c>
      <c r="AA182" s="298">
        <f t="shared" si="56"/>
        <v>0</v>
      </c>
      <c r="AB182" s="298">
        <f t="shared" si="61"/>
        <v>0</v>
      </c>
      <c r="AC182" s="284"/>
      <c r="AE182" s="299" t="str">
        <f t="shared" si="52"/>
        <v/>
      </c>
      <c r="AF182" s="334">
        <f t="shared" si="53"/>
        <v>0</v>
      </c>
    </row>
    <row r="183" spans="1:32" ht="15" customHeight="1" x14ac:dyDescent="0.25">
      <c r="A183" s="575"/>
      <c r="B183" s="564"/>
      <c r="C183" s="432"/>
      <c r="D183" s="433"/>
      <c r="E183" s="438"/>
      <c r="F183" s="216" t="str">
        <f t="shared" si="54"/>
        <v/>
      </c>
      <c r="G183" s="451"/>
      <c r="H183" s="217" t="str">
        <f>IF(AND(E183="",G183=""),"",SUM(F183:G185))</f>
        <v/>
      </c>
      <c r="I183" s="218"/>
      <c r="J183" s="259"/>
      <c r="K183" s="259"/>
      <c r="L183" s="226" t="str">
        <f>IF(J183="Duplex",VLOOKUP(M183,'Características dos Cabos MX'!$C$12:$I$14,7),(IF(J183="Triplex",VLOOKUP(M183,'Características dos Cabos MX'!$C$15:$J$20,8),(IF(J183="Quadruplex",VLOOKUP(M183,'Características dos Cabos MX'!$C$21:$K$27,9),(IF(J183="13",VLOOKUP(M183,'Características dos Cabos MX'!$C$15:$L$20,10),"")))))))</f>
        <v/>
      </c>
      <c r="M183" s="410" t="str">
        <f t="shared" si="46"/>
        <v/>
      </c>
      <c r="N183" s="444"/>
      <c r="O183" s="219" t="str">
        <f t="shared" si="55"/>
        <v/>
      </c>
      <c r="P183" s="220" t="str">
        <f t="shared" si="62"/>
        <v/>
      </c>
      <c r="Q183" s="220" t="str">
        <f t="shared" si="47"/>
        <v/>
      </c>
      <c r="R183" s="221" t="str">
        <f>IF(J183="Duplex",VLOOKUP(M183,'Características dos Cabos MX'!$C$12:$I$14,5),(IF(J183="Triplex",VLOOKUP(M183,'Características dos Cabos MX'!$C$15:$J$20,5),(IF(J183="Quadruplex",VLOOKUP(M183,'Características dos Cabos MX'!$C$21:$K$27,5),(IF(J183="13",VLOOKUP(M183,'Características dos Cabos MX'!$C$15:$L$20,5),"")))))))</f>
        <v/>
      </c>
      <c r="S183" s="221" t="str">
        <f>IF(J183="Duplex",VLOOKUP(M183,'Características dos Cabos MX'!$C$12:$I$14,6),(IF(J183="Triplex",VLOOKUP(M183,'Características dos Cabos MX'!$C$15:$J$20,6),(IF(J183="Quadruplex",VLOOKUP(M183,'Características dos Cabos MX'!$C$21:$K$27,6),(IF(J183="13",VLOOKUP(M183,'Características dos Cabos MX'!$C$15:$L$20,6),"")))))))</f>
        <v/>
      </c>
      <c r="T183" s="222" t="str">
        <f t="shared" si="57"/>
        <v/>
      </c>
      <c r="U183" s="223" t="str">
        <f>IF(J183="Duplex",VLOOKUP(M183,'Características dos Cabos MX'!$C$12:$I$14,2),(IF(J183="Triplex",VLOOKUP(M183,'Características dos Cabos MX'!$C$15:$J$20,2),(IF(J183="Quadruplex",VLOOKUP(M183,'Características dos Cabos MX'!$C$21:$K$27,2),(IF(J183="13",VLOOKUP(M183,'Características dos Cabos MX'!$C$15:$L$20,2),"")))))))</f>
        <v/>
      </c>
      <c r="V183" s="221" t="str">
        <f>IF(J183="Duplex",VLOOKUP(M183,'Características dos Cabos MX'!$C$12:$I$14,3),(IF(J183="Triplex",VLOOKUP(M183,'Características dos Cabos MX'!$C$15:$J$20,3),(IF(J183="Quadruplex",VLOOKUP(M183,'Características dos Cabos MX'!$C$21:$K$27,3),(IF(J183="13",VLOOKUP(M183,'Características dos Cabos MX'!$C$15:$L$20,3),"")))))))</f>
        <v/>
      </c>
      <c r="W183" s="224" t="str">
        <f t="shared" si="58"/>
        <v/>
      </c>
      <c r="X183" s="224" t="str">
        <f t="shared" si="59"/>
        <v/>
      </c>
      <c r="Y183" s="225" t="str">
        <f t="shared" si="60"/>
        <v/>
      </c>
      <c r="AA183" s="298">
        <f t="shared" si="56"/>
        <v>0</v>
      </c>
      <c r="AB183" s="298">
        <f t="shared" si="61"/>
        <v>0</v>
      </c>
      <c r="AC183" s="284"/>
      <c r="AE183" s="299" t="str">
        <f t="shared" si="52"/>
        <v/>
      </c>
      <c r="AF183" s="334">
        <f t="shared" si="53"/>
        <v>0</v>
      </c>
    </row>
    <row r="184" spans="1:32" ht="15" customHeight="1" x14ac:dyDescent="0.25">
      <c r="A184" s="575"/>
      <c r="B184" s="564"/>
      <c r="C184" s="432"/>
      <c r="D184" s="433"/>
      <c r="E184" s="438"/>
      <c r="F184" s="216" t="str">
        <f t="shared" si="54"/>
        <v/>
      </c>
      <c r="G184" s="451"/>
      <c r="H184" s="217" t="str">
        <f>IF(AND(E184="",G184=""),"",SUM(F184:G185))</f>
        <v/>
      </c>
      <c r="I184" s="218"/>
      <c r="J184" s="259"/>
      <c r="K184" s="259"/>
      <c r="L184" s="226" t="str">
        <f>IF(J184="Duplex",VLOOKUP(M184,'Características dos Cabos MX'!$C$12:$I$14,7),(IF(J184="Triplex",VLOOKUP(M184,'Características dos Cabos MX'!$C$15:$J$20,8),(IF(J184="Quadruplex",VLOOKUP(M184,'Características dos Cabos MX'!$C$21:$K$27,9),(IF(J184="13",VLOOKUP(M184,'Características dos Cabos MX'!$C$15:$L$20,10),"")))))))</f>
        <v/>
      </c>
      <c r="M184" s="410" t="str">
        <f t="shared" si="46"/>
        <v/>
      </c>
      <c r="N184" s="444"/>
      <c r="O184" s="219" t="str">
        <f t="shared" si="55"/>
        <v/>
      </c>
      <c r="P184" s="220" t="str">
        <f t="shared" si="62"/>
        <v/>
      </c>
      <c r="Q184" s="220" t="str">
        <f t="shared" si="47"/>
        <v/>
      </c>
      <c r="R184" s="221" t="str">
        <f>IF(J184="Duplex",VLOOKUP(M184,'Características dos Cabos MX'!$C$12:$I$14,5),(IF(J184="Triplex",VLOOKUP(M184,'Características dos Cabos MX'!$C$15:$J$20,5),(IF(J184="Quadruplex",VLOOKUP(M184,'Características dos Cabos MX'!$C$21:$K$27,5),(IF(J184="13",VLOOKUP(M184,'Características dos Cabos MX'!$C$15:$L$20,5),"")))))))</f>
        <v/>
      </c>
      <c r="S184" s="221" t="str">
        <f>IF(J184="Duplex",VLOOKUP(M184,'Características dos Cabos MX'!$C$12:$I$14,6),(IF(J184="Triplex",VLOOKUP(M184,'Características dos Cabos MX'!$C$15:$J$20,6),(IF(J184="Quadruplex",VLOOKUP(M184,'Características dos Cabos MX'!$C$21:$K$27,6),(IF(J184="13",VLOOKUP(M184,'Características dos Cabos MX'!$C$15:$L$20,6),"")))))))</f>
        <v/>
      </c>
      <c r="T184" s="222" t="str">
        <f t="shared" si="57"/>
        <v/>
      </c>
      <c r="U184" s="223" t="str">
        <f>IF(J184="Duplex",VLOOKUP(M184,'Características dos Cabos MX'!$C$12:$I$14,2),(IF(J184="Triplex",VLOOKUP(M184,'Características dos Cabos MX'!$C$15:$J$20,2),(IF(J184="Quadruplex",VLOOKUP(M184,'Características dos Cabos MX'!$C$21:$K$27,2),(IF(J184="13",VLOOKUP(M184,'Características dos Cabos MX'!$C$15:$L$20,2),"")))))))</f>
        <v/>
      </c>
      <c r="V184" s="221" t="str">
        <f>IF(J184="Duplex",VLOOKUP(M184,'Características dos Cabos MX'!$C$12:$I$14,3),(IF(J184="Triplex",VLOOKUP(M184,'Características dos Cabos MX'!$C$15:$J$20,3),(IF(J184="Quadruplex",VLOOKUP(M184,'Características dos Cabos MX'!$C$21:$K$27,3),(IF(J184="13",VLOOKUP(M184,'Características dos Cabos MX'!$C$15:$L$20,3),"")))))))</f>
        <v/>
      </c>
      <c r="W184" s="224" t="str">
        <f t="shared" si="58"/>
        <v/>
      </c>
      <c r="X184" s="224" t="str">
        <f t="shared" si="59"/>
        <v/>
      </c>
      <c r="Y184" s="225" t="str">
        <f t="shared" si="60"/>
        <v/>
      </c>
      <c r="AA184" s="298">
        <f t="shared" si="56"/>
        <v>0</v>
      </c>
      <c r="AB184" s="298">
        <f t="shared" si="61"/>
        <v>0</v>
      </c>
      <c r="AC184" s="284"/>
      <c r="AE184" s="299" t="str">
        <f t="shared" si="52"/>
        <v/>
      </c>
      <c r="AF184" s="334">
        <f t="shared" si="53"/>
        <v>0</v>
      </c>
    </row>
    <row r="185" spans="1:32" ht="15" customHeight="1" thickBot="1" x14ac:dyDescent="0.3">
      <c r="A185" s="575"/>
      <c r="B185" s="565"/>
      <c r="C185" s="434"/>
      <c r="D185" s="435"/>
      <c r="E185" s="434"/>
      <c r="F185" s="228" t="str">
        <f t="shared" si="54"/>
        <v/>
      </c>
      <c r="G185" s="452"/>
      <c r="H185" s="229" t="str">
        <f>IF(AND(E185="",G185=""),"",SUM(F185:G185))</f>
        <v/>
      </c>
      <c r="I185" s="230"/>
      <c r="J185" s="260"/>
      <c r="K185" s="260"/>
      <c r="L185" s="231" t="str">
        <f>IF(J185="Duplex",VLOOKUP(M185,'Características dos Cabos MX'!$C$12:$I$14,7),(IF(J185="Triplex",VLOOKUP(M185,'Características dos Cabos MX'!$C$15:$J$20,8),(IF(J185="Quadruplex",VLOOKUP(M185,'Características dos Cabos MX'!$C$21:$K$27,9),(IF(J185="13",VLOOKUP(M185,'Características dos Cabos MX'!$C$15:$L$20,10),"")))))))</f>
        <v/>
      </c>
      <c r="M185" s="412" t="str">
        <f t="shared" si="46"/>
        <v/>
      </c>
      <c r="N185" s="445"/>
      <c r="O185" s="232" t="str">
        <f t="shared" si="55"/>
        <v/>
      </c>
      <c r="P185" s="233" t="str">
        <f t="shared" si="62"/>
        <v/>
      </c>
      <c r="Q185" s="233" t="str">
        <f t="shared" si="47"/>
        <v/>
      </c>
      <c r="R185" s="234" t="str">
        <f>IF(J185="Duplex",VLOOKUP(M185,'Características dos Cabos MX'!$C$12:$I$14,5),(IF(J185="Triplex",VLOOKUP(M185,'Características dos Cabos MX'!$C$15:$J$20,5),(IF(J185="Quadruplex",VLOOKUP(M185,'Características dos Cabos MX'!$C$21:$K$27,5),(IF(J185="13",VLOOKUP(M185,'Características dos Cabos MX'!$C$15:$L$20,5),"")))))))</f>
        <v/>
      </c>
      <c r="S185" s="234" t="str">
        <f>IF(J185="Duplex",VLOOKUP(M185,'Características dos Cabos MX'!$C$12:$I$14,6),(IF(J185="Triplex",VLOOKUP(M185,'Características dos Cabos MX'!$C$15:$J$20,6),(IF(J185="Quadruplex",VLOOKUP(M185,'Características dos Cabos MX'!$C$21:$K$27,6),(IF(J185="13",VLOOKUP(M185,'Características dos Cabos MX'!$C$15:$L$20,6),"")))))))</f>
        <v/>
      </c>
      <c r="T185" s="235" t="str">
        <f t="shared" si="57"/>
        <v/>
      </c>
      <c r="U185" s="236" t="str">
        <f>IF(J185="Duplex",VLOOKUP(M185,'Características dos Cabos MX'!$C$12:$I$14,2),(IF(J185="Triplex",VLOOKUP(M185,'Características dos Cabos MX'!$C$15:$J$20,2),(IF(J185="Quadruplex",VLOOKUP(M185,'Características dos Cabos MX'!$C$21:$K$27,2),(IF(J185="13",VLOOKUP(M185,'Características dos Cabos MX'!$C$15:$L$20,2),"")))))))</f>
        <v/>
      </c>
      <c r="V185" s="234" t="str">
        <f>IF(J185="Duplex",VLOOKUP(M185,'Características dos Cabos MX'!$C$12:$I$14,3),(IF(J185="Triplex",VLOOKUP(M185,'Características dos Cabos MX'!$C$15:$J$20,3),(IF(J185="Quadruplex",VLOOKUP(M185,'Características dos Cabos MX'!$C$21:$K$27,3),(IF(J185="13",VLOOKUP(M185,'Características dos Cabos MX'!$C$15:$L$20,3),"")))))))</f>
        <v/>
      </c>
      <c r="W185" s="237" t="str">
        <f t="shared" si="58"/>
        <v/>
      </c>
      <c r="X185" s="237" t="str">
        <f t="shared" si="59"/>
        <v/>
      </c>
      <c r="Y185" s="238" t="str">
        <f t="shared" si="60"/>
        <v/>
      </c>
      <c r="AA185" s="298">
        <f t="shared" si="56"/>
        <v>0</v>
      </c>
      <c r="AB185" s="298">
        <f t="shared" si="61"/>
        <v>0</v>
      </c>
      <c r="AC185" s="284"/>
      <c r="AE185" s="299" t="str">
        <f t="shared" si="52"/>
        <v/>
      </c>
      <c r="AF185" s="334">
        <f t="shared" si="53"/>
        <v>0</v>
      </c>
    </row>
    <row r="186" spans="1:32" ht="15" customHeight="1" thickTop="1" x14ac:dyDescent="0.25">
      <c r="A186" s="575"/>
      <c r="B186" s="563" t="str">
        <f>CONCATENATE("Ramal 15 - Derivando no ponto ",C186)</f>
        <v xml:space="preserve">Ramal 15 - Derivando no ponto </v>
      </c>
      <c r="C186" s="431"/>
      <c r="D186" s="436"/>
      <c r="E186" s="440"/>
      <c r="F186" s="239" t="str">
        <f t="shared" si="54"/>
        <v/>
      </c>
      <c r="G186" s="453"/>
      <c r="H186" s="240" t="str">
        <f>IF(AND(E186="",G186=""),"",SUM(F186:G195))</f>
        <v/>
      </c>
      <c r="I186" s="241"/>
      <c r="J186" s="262"/>
      <c r="K186" s="262"/>
      <c r="L186" s="242" t="str">
        <f>IF(J186="Duplex",VLOOKUP(M186,'Características dos Cabos MX'!$C$12:$I$14,7),(IF(J186="Triplex",VLOOKUP(M186,'Características dos Cabos MX'!$C$15:$J$20,8),(IF(J186="Quadruplex",VLOOKUP(M186,'Características dos Cabos MX'!$C$21:$K$27,9),(IF(J186="13",VLOOKUP(M186,'Características dos Cabos MX'!$C$15:$L$20,10),"")))))))</f>
        <v/>
      </c>
      <c r="M186" s="413" t="str">
        <f t="shared" si="46"/>
        <v/>
      </c>
      <c r="N186" s="446"/>
      <c r="O186" s="243" t="str">
        <f t="shared" si="55"/>
        <v/>
      </c>
      <c r="P186" s="244" t="str">
        <f>IF(O186="","",O186+VLOOKUP(C186,$D$20:$Q$186,13,FALSE))</f>
        <v/>
      </c>
      <c r="Q186" s="244" t="str">
        <f t="shared" si="47"/>
        <v/>
      </c>
      <c r="R186" s="245" t="str">
        <f>IF(J186="Duplex",VLOOKUP(M186,'Características dos Cabos MX'!$C$12:$I$14,5),(IF(J186="Triplex",VLOOKUP(M186,'Características dos Cabos MX'!$C$15:$J$20,5),(IF(J186="Quadruplex",VLOOKUP(M186,'Características dos Cabos MX'!$C$21:$K$27,5),(IF(J186="13",VLOOKUP(M186,'Características dos Cabos MX'!$C$15:$L$20,5),"")))))))</f>
        <v/>
      </c>
      <c r="S186" s="245" t="str">
        <f>IF(J186="Duplex",VLOOKUP(M186,'Características dos Cabos MX'!$C$12:$I$14,6),(IF(J186="Triplex",VLOOKUP(M186,'Características dos Cabos MX'!$C$15:$J$20,6),(IF(J186="Quadruplex",VLOOKUP(M186,'Características dos Cabos MX'!$C$21:$K$27,6),(IF(J186="13",VLOOKUP(M186,'Características dos Cabos MX'!$C$15:$L$20,6),"")))))))</f>
        <v/>
      </c>
      <c r="T186" s="246" t="str">
        <f t="shared" si="57"/>
        <v/>
      </c>
      <c r="U186" s="247" t="str">
        <f>IF(J186="Duplex",VLOOKUP(M186,'Características dos Cabos MX'!$C$12:$I$14,2),(IF(J186="Triplex",VLOOKUP(M186,'Características dos Cabos MX'!$C$15:$J$20,2),(IF(J186="Quadruplex",VLOOKUP(M186,'Características dos Cabos MX'!$C$21:$K$27,2),(IF(J186="13",VLOOKUP(M186,'Características dos Cabos MX'!$C$15:$L$20,2),"")))))))</f>
        <v/>
      </c>
      <c r="V186" s="245" t="str">
        <f>IF(J186="Duplex",VLOOKUP(M186,'Características dos Cabos MX'!$C$12:$I$14,3),(IF(J186="Triplex",VLOOKUP(M186,'Características dos Cabos MX'!$C$15:$J$20,3),(IF(J186="Quadruplex",VLOOKUP(M186,'Características dos Cabos MX'!$C$21:$K$27,3),(IF(J186="13",VLOOKUP(M186,'Características dos Cabos MX'!$C$15:$L$20,3),"")))))))</f>
        <v/>
      </c>
      <c r="W186" s="248" t="str">
        <f t="shared" si="58"/>
        <v/>
      </c>
      <c r="X186" s="248" t="str">
        <f t="shared" si="59"/>
        <v/>
      </c>
      <c r="Y186" s="249" t="str">
        <f t="shared" si="60"/>
        <v/>
      </c>
      <c r="Z186" s="121" t="str">
        <f>IF(O186="","",O186+VLOOKUP(C186,$D$20:$P$44,13,FALSE))</f>
        <v/>
      </c>
      <c r="AA186" s="298">
        <f t="shared" si="56"/>
        <v>0</v>
      </c>
      <c r="AB186" s="298">
        <f t="shared" ref="AB186:AB195" si="63">K186</f>
        <v>0</v>
      </c>
      <c r="AC186" s="284"/>
      <c r="AE186" s="299" t="str">
        <f t="shared" si="52"/>
        <v/>
      </c>
      <c r="AF186" s="334">
        <f t="shared" si="53"/>
        <v>0</v>
      </c>
    </row>
    <row r="187" spans="1:32" ht="15" customHeight="1" x14ac:dyDescent="0.25">
      <c r="A187" s="575"/>
      <c r="B187" s="564"/>
      <c r="C187" s="432"/>
      <c r="D187" s="433"/>
      <c r="E187" s="438"/>
      <c r="F187" s="216" t="str">
        <f t="shared" si="54"/>
        <v/>
      </c>
      <c r="G187" s="451"/>
      <c r="H187" s="217" t="str">
        <f>IF(AND(E187="",G187=""),"",SUM(F187:G195))</f>
        <v/>
      </c>
      <c r="I187" s="218"/>
      <c r="J187" s="259"/>
      <c r="K187" s="259"/>
      <c r="L187" s="226" t="str">
        <f>IF(J187="Duplex",VLOOKUP(M187,'Características dos Cabos MX'!$C$12:$I$14,7),(IF(J187="Triplex",VLOOKUP(M187,'Características dos Cabos MX'!$C$15:$J$20,8),(IF(J187="Quadruplex",VLOOKUP(M187,'Características dos Cabos MX'!$C$21:$K$27,9),(IF(J187="13",VLOOKUP(M187,'Características dos Cabos MX'!$C$15:$L$20,10),"")))))))</f>
        <v/>
      </c>
      <c r="M187" s="410" t="str">
        <f t="shared" si="46"/>
        <v/>
      </c>
      <c r="N187" s="444"/>
      <c r="O187" s="219" t="str">
        <f t="shared" si="55"/>
        <v/>
      </c>
      <c r="P187" s="220" t="str">
        <f t="shared" ref="P187:P195" si="64">IF(O187="","",P186+O187)</f>
        <v/>
      </c>
      <c r="Q187" s="220" t="str">
        <f t="shared" si="47"/>
        <v/>
      </c>
      <c r="R187" s="221" t="str">
        <f>IF(J187="Duplex",VLOOKUP(M187,'Características dos Cabos MX'!$C$12:$I$14,5),(IF(J187="Triplex",VLOOKUP(M187,'Características dos Cabos MX'!$C$15:$J$20,5),(IF(J187="Quadruplex",VLOOKUP(M187,'Características dos Cabos MX'!$C$21:$K$27,5),(IF(J187="13",VLOOKUP(M187,'Características dos Cabos MX'!$C$15:$L$20,5),"")))))))</f>
        <v/>
      </c>
      <c r="S187" s="221" t="str">
        <f>IF(J187="Duplex",VLOOKUP(M187,'Características dos Cabos MX'!$C$12:$I$14,6),(IF(J187="Triplex",VLOOKUP(M187,'Características dos Cabos MX'!$C$15:$J$20,6),(IF(J187="Quadruplex",VLOOKUP(M187,'Características dos Cabos MX'!$C$21:$K$27,6),(IF(J187="13",VLOOKUP(M187,'Características dos Cabos MX'!$C$15:$L$20,6),"")))))))</f>
        <v/>
      </c>
      <c r="T187" s="222" t="str">
        <f t="shared" si="57"/>
        <v/>
      </c>
      <c r="U187" s="223" t="str">
        <f>IF(J187="Duplex",VLOOKUP(M187,'Características dos Cabos MX'!$C$12:$I$14,2),(IF(J187="Triplex",VLOOKUP(M187,'Características dos Cabos MX'!$C$15:$J$20,2),(IF(J187="Quadruplex",VLOOKUP(M187,'Características dos Cabos MX'!$C$21:$K$27,2),(IF(J187="13",VLOOKUP(M187,'Características dos Cabos MX'!$C$15:$L$20,2),"")))))))</f>
        <v/>
      </c>
      <c r="V187" s="221" t="str">
        <f>IF(J187="Duplex",VLOOKUP(M187,'Características dos Cabos MX'!$C$12:$I$14,3),(IF(J187="Triplex",VLOOKUP(M187,'Características dos Cabos MX'!$C$15:$J$20,3),(IF(J187="Quadruplex",VLOOKUP(M187,'Características dos Cabos MX'!$C$21:$K$27,3),(IF(J187="13",VLOOKUP(M187,'Características dos Cabos MX'!$C$15:$L$20,3),"")))))))</f>
        <v/>
      </c>
      <c r="W187" s="224" t="str">
        <f t="shared" si="58"/>
        <v/>
      </c>
      <c r="X187" s="224" t="str">
        <f t="shared" si="59"/>
        <v/>
      </c>
      <c r="Y187" s="225" t="str">
        <f t="shared" si="60"/>
        <v/>
      </c>
      <c r="AA187" s="298">
        <f t="shared" si="56"/>
        <v>0</v>
      </c>
      <c r="AB187" s="298">
        <f t="shared" si="63"/>
        <v>0</v>
      </c>
      <c r="AC187" s="284"/>
      <c r="AE187" s="299" t="str">
        <f t="shared" si="52"/>
        <v/>
      </c>
      <c r="AF187" s="334">
        <f t="shared" si="53"/>
        <v>0</v>
      </c>
    </row>
    <row r="188" spans="1:32" ht="15" customHeight="1" x14ac:dyDescent="0.25">
      <c r="A188" s="575"/>
      <c r="B188" s="564"/>
      <c r="C188" s="432"/>
      <c r="D188" s="433"/>
      <c r="E188" s="438"/>
      <c r="F188" s="216" t="str">
        <f t="shared" si="54"/>
        <v/>
      </c>
      <c r="G188" s="451"/>
      <c r="H188" s="217" t="str">
        <f>IF(AND(E188="",G188=""),"",SUM(F188:G195))</f>
        <v/>
      </c>
      <c r="I188" s="218"/>
      <c r="J188" s="259"/>
      <c r="K188" s="259"/>
      <c r="L188" s="226" t="str">
        <f>IF(J188="Duplex",VLOOKUP(M188,'Características dos Cabos MX'!$C$12:$I$14,7),(IF(J188="Triplex",VLOOKUP(M188,'Características dos Cabos MX'!$C$15:$J$20,8),(IF(J188="Quadruplex",VLOOKUP(M188,'Características dos Cabos MX'!$C$21:$K$27,9),(IF(J188="13",VLOOKUP(M188,'Características dos Cabos MX'!$C$15:$L$20,10),"")))))))</f>
        <v/>
      </c>
      <c r="M188" s="410" t="str">
        <f t="shared" si="46"/>
        <v/>
      </c>
      <c r="N188" s="444"/>
      <c r="O188" s="219" t="str">
        <f t="shared" si="55"/>
        <v/>
      </c>
      <c r="P188" s="220" t="str">
        <f t="shared" si="64"/>
        <v/>
      </c>
      <c r="Q188" s="220" t="str">
        <f t="shared" si="47"/>
        <v/>
      </c>
      <c r="R188" s="221" t="str">
        <f>IF(J188="Duplex",VLOOKUP(M188,'Características dos Cabos MX'!$C$12:$I$14,5),(IF(J188="Triplex",VLOOKUP(M188,'Características dos Cabos MX'!$C$15:$J$20,5),(IF(J188="Quadruplex",VLOOKUP(M188,'Características dos Cabos MX'!$C$21:$K$27,5),(IF(J188="13",VLOOKUP(M188,'Características dos Cabos MX'!$C$15:$L$20,5),"")))))))</f>
        <v/>
      </c>
      <c r="S188" s="221" t="str">
        <f>IF(J188="Duplex",VLOOKUP(M188,'Características dos Cabos MX'!$C$12:$I$14,6),(IF(J188="Triplex",VLOOKUP(M188,'Características dos Cabos MX'!$C$15:$J$20,6),(IF(J188="Quadruplex",VLOOKUP(M188,'Características dos Cabos MX'!$C$21:$K$27,6),(IF(J188="13",VLOOKUP(M188,'Características dos Cabos MX'!$C$15:$L$20,6),"")))))))</f>
        <v/>
      </c>
      <c r="T188" s="222" t="str">
        <f t="shared" si="57"/>
        <v/>
      </c>
      <c r="U188" s="223" t="str">
        <f>IF(J188="Duplex",VLOOKUP(M188,'Características dos Cabos MX'!$C$12:$I$14,2),(IF(J188="Triplex",VLOOKUP(M188,'Características dos Cabos MX'!$C$15:$J$20,2),(IF(J188="Quadruplex",VLOOKUP(M188,'Características dos Cabos MX'!$C$21:$K$27,2),(IF(J188="13",VLOOKUP(M188,'Características dos Cabos MX'!$C$15:$L$20,2),"")))))))</f>
        <v/>
      </c>
      <c r="V188" s="221" t="str">
        <f>IF(J188="Duplex",VLOOKUP(M188,'Características dos Cabos MX'!$C$12:$I$14,3),(IF(J188="Triplex",VLOOKUP(M188,'Características dos Cabos MX'!$C$15:$J$20,3),(IF(J188="Quadruplex",VLOOKUP(M188,'Características dos Cabos MX'!$C$21:$K$27,3),(IF(J188="13",VLOOKUP(M188,'Características dos Cabos MX'!$C$15:$L$20,3),"")))))))</f>
        <v/>
      </c>
      <c r="W188" s="224" t="str">
        <f t="shared" si="58"/>
        <v/>
      </c>
      <c r="X188" s="224" t="str">
        <f t="shared" si="59"/>
        <v/>
      </c>
      <c r="Y188" s="225" t="str">
        <f t="shared" si="60"/>
        <v/>
      </c>
      <c r="AA188" s="298">
        <f t="shared" si="56"/>
        <v>0</v>
      </c>
      <c r="AB188" s="298">
        <f t="shared" si="63"/>
        <v>0</v>
      </c>
      <c r="AC188" s="284"/>
      <c r="AE188" s="299" t="str">
        <f t="shared" si="52"/>
        <v/>
      </c>
      <c r="AF188" s="334">
        <f t="shared" si="53"/>
        <v>0</v>
      </c>
    </row>
    <row r="189" spans="1:32" ht="15" customHeight="1" x14ac:dyDescent="0.25">
      <c r="A189" s="575"/>
      <c r="B189" s="564"/>
      <c r="C189" s="432"/>
      <c r="D189" s="433"/>
      <c r="E189" s="438"/>
      <c r="F189" s="216" t="str">
        <f t="shared" si="54"/>
        <v/>
      </c>
      <c r="G189" s="451"/>
      <c r="H189" s="217" t="str">
        <f>IF(AND(E189="",G189=""),"",SUM(F189:G195))</f>
        <v/>
      </c>
      <c r="I189" s="218"/>
      <c r="J189" s="259"/>
      <c r="K189" s="259"/>
      <c r="L189" s="226" t="str">
        <f>IF(J189="Duplex",VLOOKUP(M189,'Características dos Cabos MX'!$C$12:$I$14,7),(IF(J189="Triplex",VLOOKUP(M189,'Características dos Cabos MX'!$C$15:$J$20,8),(IF(J189="Quadruplex",VLOOKUP(M189,'Características dos Cabos MX'!$C$21:$K$27,9),(IF(J189="13",VLOOKUP(M189,'Características dos Cabos MX'!$C$15:$L$20,10),"")))))))</f>
        <v/>
      </c>
      <c r="M189" s="410" t="str">
        <f t="shared" si="46"/>
        <v/>
      </c>
      <c r="N189" s="444"/>
      <c r="O189" s="219" t="str">
        <f t="shared" si="55"/>
        <v/>
      </c>
      <c r="P189" s="220" t="str">
        <f t="shared" si="64"/>
        <v/>
      </c>
      <c r="Q189" s="220" t="str">
        <f t="shared" si="47"/>
        <v/>
      </c>
      <c r="R189" s="221" t="str">
        <f>IF(J189="Duplex",VLOOKUP(M189,'Características dos Cabos MX'!$C$12:$I$14,5),(IF(J189="Triplex",VLOOKUP(M189,'Características dos Cabos MX'!$C$15:$J$20,5),(IF(J189="Quadruplex",VLOOKUP(M189,'Características dos Cabos MX'!$C$21:$K$27,5),(IF(J189="13",VLOOKUP(M189,'Características dos Cabos MX'!$C$15:$L$20,5),"")))))))</f>
        <v/>
      </c>
      <c r="S189" s="221" t="str">
        <f>IF(J189="Duplex",VLOOKUP(M189,'Características dos Cabos MX'!$C$12:$I$14,6),(IF(J189="Triplex",VLOOKUP(M189,'Características dos Cabos MX'!$C$15:$J$20,6),(IF(J189="Quadruplex",VLOOKUP(M189,'Características dos Cabos MX'!$C$21:$K$27,6),(IF(J189="13",VLOOKUP(M189,'Características dos Cabos MX'!$C$15:$L$20,6),"")))))))</f>
        <v/>
      </c>
      <c r="T189" s="222" t="str">
        <f t="shared" si="57"/>
        <v/>
      </c>
      <c r="U189" s="223" t="str">
        <f>IF(J189="Duplex",VLOOKUP(M189,'Características dos Cabos MX'!$C$12:$I$14,2),(IF(J189="Triplex",VLOOKUP(M189,'Características dos Cabos MX'!$C$15:$J$20,2),(IF(J189="Quadruplex",VLOOKUP(M189,'Características dos Cabos MX'!$C$21:$K$27,2),(IF(J189="13",VLOOKUP(M189,'Características dos Cabos MX'!$C$15:$L$20,2),"")))))))</f>
        <v/>
      </c>
      <c r="V189" s="221" t="str">
        <f>IF(J189="Duplex",VLOOKUP(M189,'Características dos Cabos MX'!$C$12:$I$14,3),(IF(J189="Triplex",VLOOKUP(M189,'Características dos Cabos MX'!$C$15:$J$20,3),(IF(J189="Quadruplex",VLOOKUP(M189,'Características dos Cabos MX'!$C$21:$K$27,3),(IF(J189="13",VLOOKUP(M189,'Características dos Cabos MX'!$C$15:$L$20,3),"")))))))</f>
        <v/>
      </c>
      <c r="W189" s="224" t="str">
        <f t="shared" si="58"/>
        <v/>
      </c>
      <c r="X189" s="224" t="str">
        <f t="shared" si="59"/>
        <v/>
      </c>
      <c r="Y189" s="225" t="str">
        <f t="shared" si="60"/>
        <v/>
      </c>
      <c r="AA189" s="298">
        <f t="shared" si="56"/>
        <v>0</v>
      </c>
      <c r="AB189" s="298">
        <f t="shared" si="63"/>
        <v>0</v>
      </c>
      <c r="AC189" s="284"/>
      <c r="AE189" s="299" t="str">
        <f t="shared" si="52"/>
        <v/>
      </c>
      <c r="AF189" s="334">
        <f t="shared" si="53"/>
        <v>0</v>
      </c>
    </row>
    <row r="190" spans="1:32" ht="15" customHeight="1" x14ac:dyDescent="0.25">
      <c r="A190" s="575"/>
      <c r="B190" s="564"/>
      <c r="C190" s="432"/>
      <c r="D190" s="433"/>
      <c r="E190" s="438"/>
      <c r="F190" s="216" t="str">
        <f t="shared" si="54"/>
        <v/>
      </c>
      <c r="G190" s="451"/>
      <c r="H190" s="217" t="str">
        <f>IF(AND(E190="",G190=""),"",SUM(F190:G195))</f>
        <v/>
      </c>
      <c r="I190" s="218"/>
      <c r="J190" s="259"/>
      <c r="K190" s="259"/>
      <c r="L190" s="226" t="str">
        <f>IF(J190="Duplex",VLOOKUP(M190,'Características dos Cabos MX'!$C$12:$I$14,7),(IF(J190="Triplex",VLOOKUP(M190,'Características dos Cabos MX'!$C$15:$J$20,8),(IF(J190="Quadruplex",VLOOKUP(M190,'Características dos Cabos MX'!$C$21:$K$27,9),(IF(J190="13",VLOOKUP(M190,'Características dos Cabos MX'!$C$15:$L$20,10),"")))))))</f>
        <v/>
      </c>
      <c r="M190" s="410" t="str">
        <f t="shared" si="46"/>
        <v/>
      </c>
      <c r="N190" s="444"/>
      <c r="O190" s="219" t="str">
        <f t="shared" si="55"/>
        <v/>
      </c>
      <c r="P190" s="220" t="str">
        <f t="shared" si="64"/>
        <v/>
      </c>
      <c r="Q190" s="220" t="str">
        <f t="shared" si="47"/>
        <v/>
      </c>
      <c r="R190" s="221" t="str">
        <f>IF(J190="Duplex",VLOOKUP(M190,'Características dos Cabos MX'!$C$12:$I$14,5),(IF(J190="Triplex",VLOOKUP(M190,'Características dos Cabos MX'!$C$15:$J$20,5),(IF(J190="Quadruplex",VLOOKUP(M190,'Características dos Cabos MX'!$C$21:$K$27,5),(IF(J190="13",VLOOKUP(M190,'Características dos Cabos MX'!$C$15:$L$20,5),"")))))))</f>
        <v/>
      </c>
      <c r="S190" s="221" t="str">
        <f>IF(J190="Duplex",VLOOKUP(M190,'Características dos Cabos MX'!$C$12:$I$14,6),(IF(J190="Triplex",VLOOKUP(M190,'Características dos Cabos MX'!$C$15:$J$20,6),(IF(J190="Quadruplex",VLOOKUP(M190,'Características dos Cabos MX'!$C$21:$K$27,6),(IF(J190="13",VLOOKUP(M190,'Características dos Cabos MX'!$C$15:$L$20,6),"")))))))</f>
        <v/>
      </c>
      <c r="T190" s="222" t="str">
        <f t="shared" si="57"/>
        <v/>
      </c>
      <c r="U190" s="223" t="str">
        <f>IF(J190="Duplex",VLOOKUP(M190,'Características dos Cabos MX'!$C$12:$I$14,2),(IF(J190="Triplex",VLOOKUP(M190,'Características dos Cabos MX'!$C$15:$J$20,2),(IF(J190="Quadruplex",VLOOKUP(M190,'Características dos Cabos MX'!$C$21:$K$27,2),(IF(J190="13",VLOOKUP(M190,'Características dos Cabos MX'!$C$15:$L$20,2),"")))))))</f>
        <v/>
      </c>
      <c r="V190" s="221" t="str">
        <f>IF(J190="Duplex",VLOOKUP(M190,'Características dos Cabos MX'!$C$12:$I$14,3),(IF(J190="Triplex",VLOOKUP(M190,'Características dos Cabos MX'!$C$15:$J$20,3),(IF(J190="Quadruplex",VLOOKUP(M190,'Características dos Cabos MX'!$C$21:$K$27,3),(IF(J190="13",VLOOKUP(M190,'Características dos Cabos MX'!$C$15:$L$20,3),"")))))))</f>
        <v/>
      </c>
      <c r="W190" s="224" t="str">
        <f t="shared" si="58"/>
        <v/>
      </c>
      <c r="X190" s="224" t="str">
        <f t="shared" si="59"/>
        <v/>
      </c>
      <c r="Y190" s="225" t="str">
        <f t="shared" si="60"/>
        <v/>
      </c>
      <c r="AA190" s="298">
        <f t="shared" si="56"/>
        <v>0</v>
      </c>
      <c r="AB190" s="298">
        <f t="shared" si="63"/>
        <v>0</v>
      </c>
      <c r="AC190" s="284"/>
      <c r="AE190" s="299" t="str">
        <f t="shared" si="52"/>
        <v/>
      </c>
      <c r="AF190" s="334">
        <f t="shared" si="53"/>
        <v>0</v>
      </c>
    </row>
    <row r="191" spans="1:32" ht="15" customHeight="1" x14ac:dyDescent="0.25">
      <c r="A191" s="575"/>
      <c r="B191" s="564"/>
      <c r="C191" s="432"/>
      <c r="D191" s="433"/>
      <c r="E191" s="438"/>
      <c r="F191" s="216" t="str">
        <f t="shared" si="54"/>
        <v/>
      </c>
      <c r="G191" s="451"/>
      <c r="H191" s="217" t="str">
        <f>IF(AND(E191="",G191=""),"",SUM(F191:G195))</f>
        <v/>
      </c>
      <c r="I191" s="218"/>
      <c r="J191" s="259"/>
      <c r="K191" s="259"/>
      <c r="L191" s="226" t="str">
        <f>IF(J191="Duplex",VLOOKUP(M191,'Características dos Cabos MX'!$C$12:$I$14,7),(IF(J191="Triplex",VLOOKUP(M191,'Características dos Cabos MX'!$C$15:$J$20,8),(IF(J191="Quadruplex",VLOOKUP(M191,'Características dos Cabos MX'!$C$21:$K$27,9),(IF(J191="13",VLOOKUP(M191,'Características dos Cabos MX'!$C$15:$L$20,10),"")))))))</f>
        <v/>
      </c>
      <c r="M191" s="410" t="str">
        <f t="shared" si="46"/>
        <v/>
      </c>
      <c r="N191" s="444"/>
      <c r="O191" s="219" t="str">
        <f t="shared" si="55"/>
        <v/>
      </c>
      <c r="P191" s="220" t="str">
        <f t="shared" si="64"/>
        <v/>
      </c>
      <c r="Q191" s="220" t="str">
        <f t="shared" si="47"/>
        <v/>
      </c>
      <c r="R191" s="221" t="str">
        <f>IF(J191="Duplex",VLOOKUP(M191,'Características dos Cabos MX'!$C$12:$I$14,5),(IF(J191="Triplex",VLOOKUP(M191,'Características dos Cabos MX'!$C$15:$J$20,5),(IF(J191="Quadruplex",VLOOKUP(M191,'Características dos Cabos MX'!$C$21:$K$27,5),(IF(J191="13",VLOOKUP(M191,'Características dos Cabos MX'!$C$15:$L$20,5),"")))))))</f>
        <v/>
      </c>
      <c r="S191" s="221" t="str">
        <f>IF(J191="Duplex",VLOOKUP(M191,'Características dos Cabos MX'!$C$12:$I$14,6),(IF(J191="Triplex",VLOOKUP(M191,'Características dos Cabos MX'!$C$15:$J$20,6),(IF(J191="Quadruplex",VLOOKUP(M191,'Características dos Cabos MX'!$C$21:$K$27,6),(IF(J191="13",VLOOKUP(M191,'Características dos Cabos MX'!$C$15:$L$20,6),"")))))))</f>
        <v/>
      </c>
      <c r="T191" s="222" t="str">
        <f t="shared" si="57"/>
        <v/>
      </c>
      <c r="U191" s="223" t="str">
        <f>IF(J191="Duplex",VLOOKUP(M191,'Características dos Cabos MX'!$C$12:$I$14,2),(IF(J191="Triplex",VLOOKUP(M191,'Características dos Cabos MX'!$C$15:$J$20,2),(IF(J191="Quadruplex",VLOOKUP(M191,'Características dos Cabos MX'!$C$21:$K$27,2),(IF(J191="13",VLOOKUP(M191,'Características dos Cabos MX'!$C$15:$L$20,2),"")))))))</f>
        <v/>
      </c>
      <c r="V191" s="221" t="str">
        <f>IF(J191="Duplex",VLOOKUP(M191,'Características dos Cabos MX'!$C$12:$I$14,3),(IF(J191="Triplex",VLOOKUP(M191,'Características dos Cabos MX'!$C$15:$J$20,3),(IF(J191="Quadruplex",VLOOKUP(M191,'Características dos Cabos MX'!$C$21:$K$27,3),(IF(J191="13",VLOOKUP(M191,'Características dos Cabos MX'!$C$15:$L$20,3),"")))))))</f>
        <v/>
      </c>
      <c r="W191" s="224" t="str">
        <f t="shared" si="58"/>
        <v/>
      </c>
      <c r="X191" s="224" t="str">
        <f t="shared" si="59"/>
        <v/>
      </c>
      <c r="Y191" s="225" t="str">
        <f t="shared" si="60"/>
        <v/>
      </c>
      <c r="AA191" s="298">
        <f t="shared" si="56"/>
        <v>0</v>
      </c>
      <c r="AB191" s="298">
        <f t="shared" si="63"/>
        <v>0</v>
      </c>
      <c r="AC191" s="284"/>
      <c r="AE191" s="299" t="str">
        <f t="shared" si="52"/>
        <v/>
      </c>
      <c r="AF191" s="334">
        <f t="shared" si="53"/>
        <v>0</v>
      </c>
    </row>
    <row r="192" spans="1:32" ht="15" customHeight="1" x14ac:dyDescent="0.25">
      <c r="A192" s="575"/>
      <c r="B192" s="564"/>
      <c r="C192" s="432"/>
      <c r="D192" s="433"/>
      <c r="E192" s="438"/>
      <c r="F192" s="216" t="str">
        <f t="shared" si="54"/>
        <v/>
      </c>
      <c r="G192" s="451"/>
      <c r="H192" s="217" t="str">
        <f>IF(AND(E192="",G192=""),"",SUM(F192:G195))</f>
        <v/>
      </c>
      <c r="I192" s="218"/>
      <c r="J192" s="259"/>
      <c r="K192" s="259"/>
      <c r="L192" s="226" t="str">
        <f>IF(J192="Duplex",VLOOKUP(M192,'Características dos Cabos MX'!$C$12:$I$14,7),(IF(J192="Triplex",VLOOKUP(M192,'Características dos Cabos MX'!$C$15:$J$20,8),(IF(J192="Quadruplex",VLOOKUP(M192,'Características dos Cabos MX'!$C$21:$K$27,9),(IF(J192="13",VLOOKUP(M192,'Características dos Cabos MX'!$C$15:$L$20,10),"")))))))</f>
        <v/>
      </c>
      <c r="M192" s="410" t="str">
        <f t="shared" si="46"/>
        <v/>
      </c>
      <c r="N192" s="444"/>
      <c r="O192" s="219" t="str">
        <f t="shared" si="55"/>
        <v/>
      </c>
      <c r="P192" s="220" t="str">
        <f t="shared" si="64"/>
        <v/>
      </c>
      <c r="Q192" s="220" t="str">
        <f t="shared" si="47"/>
        <v/>
      </c>
      <c r="R192" s="221" t="str">
        <f>IF(J192="Duplex",VLOOKUP(M192,'Características dos Cabos MX'!$C$12:$I$14,5),(IF(J192="Triplex",VLOOKUP(M192,'Características dos Cabos MX'!$C$15:$J$20,5),(IF(J192="Quadruplex",VLOOKUP(M192,'Características dos Cabos MX'!$C$21:$K$27,5),(IF(J192="13",VLOOKUP(M192,'Características dos Cabos MX'!$C$15:$L$20,5),"")))))))</f>
        <v/>
      </c>
      <c r="S192" s="221" t="str">
        <f>IF(J192="Duplex",VLOOKUP(M192,'Características dos Cabos MX'!$C$12:$I$14,6),(IF(J192="Triplex",VLOOKUP(M192,'Características dos Cabos MX'!$C$15:$J$20,6),(IF(J192="Quadruplex",VLOOKUP(M192,'Características dos Cabos MX'!$C$21:$K$27,6),(IF(J192="13",VLOOKUP(M192,'Características dos Cabos MX'!$C$15:$L$20,6),"")))))))</f>
        <v/>
      </c>
      <c r="T192" s="222" t="str">
        <f t="shared" si="57"/>
        <v/>
      </c>
      <c r="U192" s="223" t="str">
        <f>IF(J192="Duplex",VLOOKUP(M192,'Características dos Cabos MX'!$C$12:$I$14,2),(IF(J192="Triplex",VLOOKUP(M192,'Características dos Cabos MX'!$C$15:$J$20,2),(IF(J192="Quadruplex",VLOOKUP(M192,'Características dos Cabos MX'!$C$21:$K$27,2),(IF(J192="13",VLOOKUP(M192,'Características dos Cabos MX'!$C$15:$L$20,2),"")))))))</f>
        <v/>
      </c>
      <c r="V192" s="221" t="str">
        <f>IF(J192="Duplex",VLOOKUP(M192,'Características dos Cabos MX'!$C$12:$I$14,3),(IF(J192="Triplex",VLOOKUP(M192,'Características dos Cabos MX'!$C$15:$J$20,3),(IF(J192="Quadruplex",VLOOKUP(M192,'Características dos Cabos MX'!$C$21:$K$27,3),(IF(J192="13",VLOOKUP(M192,'Características dos Cabos MX'!$C$15:$L$20,3),"")))))))</f>
        <v/>
      </c>
      <c r="W192" s="224" t="str">
        <f t="shared" si="58"/>
        <v/>
      </c>
      <c r="X192" s="224" t="str">
        <f t="shared" si="59"/>
        <v/>
      </c>
      <c r="Y192" s="225" t="str">
        <f t="shared" si="60"/>
        <v/>
      </c>
      <c r="AA192" s="298">
        <f t="shared" si="56"/>
        <v>0</v>
      </c>
      <c r="AB192" s="298">
        <f t="shared" si="63"/>
        <v>0</v>
      </c>
      <c r="AC192" s="284"/>
      <c r="AE192" s="299" t="str">
        <f t="shared" si="52"/>
        <v/>
      </c>
      <c r="AF192" s="334">
        <f t="shared" si="53"/>
        <v>0</v>
      </c>
    </row>
    <row r="193" spans="1:32" ht="15" customHeight="1" x14ac:dyDescent="0.25">
      <c r="A193" s="575"/>
      <c r="B193" s="564"/>
      <c r="C193" s="432"/>
      <c r="D193" s="433"/>
      <c r="E193" s="438"/>
      <c r="F193" s="216" t="str">
        <f t="shared" si="54"/>
        <v/>
      </c>
      <c r="G193" s="451"/>
      <c r="H193" s="217" t="str">
        <f>IF(AND(E193="",G193=""),"",SUM(F193:G195))</f>
        <v/>
      </c>
      <c r="I193" s="218"/>
      <c r="J193" s="259"/>
      <c r="K193" s="259"/>
      <c r="L193" s="226" t="str">
        <f>IF(J193="Duplex",VLOOKUP(M193,'Características dos Cabos MX'!$C$12:$I$14,7),(IF(J193="Triplex",VLOOKUP(M193,'Características dos Cabos MX'!$C$15:$J$20,8),(IF(J193="Quadruplex",VLOOKUP(M193,'Características dos Cabos MX'!$C$21:$K$27,9),(IF(J193="13",VLOOKUP(M193,'Características dos Cabos MX'!$C$15:$L$20,10),"")))))))</f>
        <v/>
      </c>
      <c r="M193" s="410" t="str">
        <f t="shared" si="46"/>
        <v/>
      </c>
      <c r="N193" s="444"/>
      <c r="O193" s="219" t="str">
        <f t="shared" si="55"/>
        <v/>
      </c>
      <c r="P193" s="220" t="str">
        <f t="shared" si="64"/>
        <v/>
      </c>
      <c r="Q193" s="220" t="str">
        <f t="shared" si="47"/>
        <v/>
      </c>
      <c r="R193" s="221" t="str">
        <f>IF(J193="Duplex",VLOOKUP(M193,'Características dos Cabos MX'!$C$12:$I$14,5),(IF(J193="Triplex",VLOOKUP(M193,'Características dos Cabos MX'!$C$15:$J$20,5),(IF(J193="Quadruplex",VLOOKUP(M193,'Características dos Cabos MX'!$C$21:$K$27,5),(IF(J193="13",VLOOKUP(M193,'Características dos Cabos MX'!$C$15:$L$20,5),"")))))))</f>
        <v/>
      </c>
      <c r="S193" s="221" t="str">
        <f>IF(J193="Duplex",VLOOKUP(M193,'Características dos Cabos MX'!$C$12:$I$14,6),(IF(J193="Triplex",VLOOKUP(M193,'Características dos Cabos MX'!$C$15:$J$20,6),(IF(J193="Quadruplex",VLOOKUP(M193,'Características dos Cabos MX'!$C$21:$K$27,6),(IF(J193="13",VLOOKUP(M193,'Características dos Cabos MX'!$C$15:$L$20,6),"")))))))</f>
        <v/>
      </c>
      <c r="T193" s="222" t="str">
        <f t="shared" si="57"/>
        <v/>
      </c>
      <c r="U193" s="223" t="str">
        <f>IF(J193="Duplex",VLOOKUP(M193,'Características dos Cabos MX'!$C$12:$I$14,2),(IF(J193="Triplex",VLOOKUP(M193,'Características dos Cabos MX'!$C$15:$J$20,2),(IF(J193="Quadruplex",VLOOKUP(M193,'Características dos Cabos MX'!$C$21:$K$27,2),(IF(J193="13",VLOOKUP(M193,'Características dos Cabos MX'!$C$15:$L$20,2),"")))))))</f>
        <v/>
      </c>
      <c r="V193" s="221" t="str">
        <f>IF(J193="Duplex",VLOOKUP(M193,'Características dos Cabos MX'!$C$12:$I$14,3),(IF(J193="Triplex",VLOOKUP(M193,'Características dos Cabos MX'!$C$15:$J$20,3),(IF(J193="Quadruplex",VLOOKUP(M193,'Características dos Cabos MX'!$C$21:$K$27,3),(IF(J193="13",VLOOKUP(M193,'Características dos Cabos MX'!$C$15:$L$20,3),"")))))))</f>
        <v/>
      </c>
      <c r="W193" s="224" t="str">
        <f t="shared" si="58"/>
        <v/>
      </c>
      <c r="X193" s="224" t="str">
        <f t="shared" si="59"/>
        <v/>
      </c>
      <c r="Y193" s="225" t="str">
        <f t="shared" si="60"/>
        <v/>
      </c>
      <c r="AA193" s="298">
        <f t="shared" si="56"/>
        <v>0</v>
      </c>
      <c r="AB193" s="298">
        <f t="shared" si="63"/>
        <v>0</v>
      </c>
      <c r="AC193" s="284"/>
      <c r="AE193" s="299" t="str">
        <f t="shared" si="52"/>
        <v/>
      </c>
      <c r="AF193" s="334">
        <f t="shared" si="53"/>
        <v>0</v>
      </c>
    </row>
    <row r="194" spans="1:32" ht="15" customHeight="1" x14ac:dyDescent="0.25">
      <c r="A194" s="575"/>
      <c r="B194" s="564"/>
      <c r="C194" s="432"/>
      <c r="D194" s="433"/>
      <c r="E194" s="438"/>
      <c r="F194" s="216" t="str">
        <f t="shared" si="54"/>
        <v/>
      </c>
      <c r="G194" s="451"/>
      <c r="H194" s="217" t="str">
        <f>IF(AND(E194="",G194=""),"",SUM(F194:G195))</f>
        <v/>
      </c>
      <c r="I194" s="218"/>
      <c r="J194" s="259"/>
      <c r="K194" s="259"/>
      <c r="L194" s="226" t="str">
        <f>IF(J194="Duplex",VLOOKUP(M194,'Características dos Cabos MX'!$C$12:$I$14,7),(IF(J194="Triplex",VLOOKUP(M194,'Características dos Cabos MX'!$C$15:$J$20,8),(IF(J194="Quadruplex",VLOOKUP(M194,'Características dos Cabos MX'!$C$21:$K$27,9),(IF(J194="13",VLOOKUP(M194,'Características dos Cabos MX'!$C$15:$L$20,10),"")))))))</f>
        <v/>
      </c>
      <c r="M194" s="410" t="str">
        <f t="shared" si="46"/>
        <v/>
      </c>
      <c r="N194" s="444"/>
      <c r="O194" s="219" t="str">
        <f t="shared" si="55"/>
        <v/>
      </c>
      <c r="P194" s="220" t="str">
        <f t="shared" si="64"/>
        <v/>
      </c>
      <c r="Q194" s="220" t="str">
        <f t="shared" si="47"/>
        <v/>
      </c>
      <c r="R194" s="221" t="str">
        <f>IF(J194="Duplex",VLOOKUP(M194,'Características dos Cabos MX'!$C$12:$I$14,5),(IF(J194="Triplex",VLOOKUP(M194,'Características dos Cabos MX'!$C$15:$J$20,5),(IF(J194="Quadruplex",VLOOKUP(M194,'Características dos Cabos MX'!$C$21:$K$27,5),(IF(J194="13",VLOOKUP(M194,'Características dos Cabos MX'!$C$15:$L$20,5),"")))))))</f>
        <v/>
      </c>
      <c r="S194" s="221" t="str">
        <f>IF(J194="Duplex",VLOOKUP(M194,'Características dos Cabos MX'!$C$12:$I$14,6),(IF(J194="Triplex",VLOOKUP(M194,'Características dos Cabos MX'!$C$15:$J$20,6),(IF(J194="Quadruplex",VLOOKUP(M194,'Características dos Cabos MX'!$C$21:$K$27,6),(IF(J194="13",VLOOKUP(M194,'Características dos Cabos MX'!$C$15:$L$20,6),"")))))))</f>
        <v/>
      </c>
      <c r="T194" s="222" t="str">
        <f t="shared" si="57"/>
        <v/>
      </c>
      <c r="U194" s="223" t="str">
        <f>IF(J194="Duplex",VLOOKUP(M194,'Características dos Cabos MX'!$C$12:$I$14,2),(IF(J194="Triplex",VLOOKUP(M194,'Características dos Cabos MX'!$C$15:$J$20,2),(IF(J194="Quadruplex",VLOOKUP(M194,'Características dos Cabos MX'!$C$21:$K$27,2),(IF(J194="13",VLOOKUP(M194,'Características dos Cabos MX'!$C$15:$L$20,2),"")))))))</f>
        <v/>
      </c>
      <c r="V194" s="221" t="str">
        <f>IF(J194="Duplex",VLOOKUP(M194,'Características dos Cabos MX'!$C$12:$I$14,3),(IF(J194="Triplex",VLOOKUP(M194,'Características dos Cabos MX'!$C$15:$J$20,3),(IF(J194="Quadruplex",VLOOKUP(M194,'Características dos Cabos MX'!$C$21:$K$27,3),(IF(J194="13",VLOOKUP(M194,'Características dos Cabos MX'!$C$15:$L$20,3),"")))))))</f>
        <v/>
      </c>
      <c r="W194" s="224" t="str">
        <f t="shared" si="58"/>
        <v/>
      </c>
      <c r="X194" s="224" t="str">
        <f t="shared" si="59"/>
        <v/>
      </c>
      <c r="Y194" s="225" t="str">
        <f t="shared" si="60"/>
        <v/>
      </c>
      <c r="AA194" s="298">
        <f t="shared" si="56"/>
        <v>0</v>
      </c>
      <c r="AB194" s="298">
        <f t="shared" si="63"/>
        <v>0</v>
      </c>
      <c r="AC194" s="284"/>
      <c r="AE194" s="299" t="str">
        <f t="shared" si="52"/>
        <v/>
      </c>
      <c r="AF194" s="334">
        <f t="shared" si="53"/>
        <v>0</v>
      </c>
    </row>
    <row r="195" spans="1:32" ht="15" customHeight="1" thickBot="1" x14ac:dyDescent="0.3">
      <c r="A195" s="576"/>
      <c r="B195" s="565"/>
      <c r="C195" s="434"/>
      <c r="D195" s="435"/>
      <c r="E195" s="439"/>
      <c r="F195" s="261" t="str">
        <f t="shared" si="54"/>
        <v/>
      </c>
      <c r="G195" s="452"/>
      <c r="H195" s="229" t="str">
        <f>IF(AND(E195="",G195=""),"",SUM(F195:G195))</f>
        <v/>
      </c>
      <c r="I195" s="230"/>
      <c r="J195" s="260"/>
      <c r="K195" s="260"/>
      <c r="L195" s="231" t="str">
        <f>IF(J195="Duplex",VLOOKUP(M195,'Características dos Cabos MX'!$C$12:$I$14,7),(IF(J195="Triplex",VLOOKUP(M195,'Características dos Cabos MX'!$C$15:$J$20,8),(IF(J195="Quadruplex",VLOOKUP(M195,'Características dos Cabos MX'!$C$21:$K$27,9),(IF(J195="13",VLOOKUP(M195,'Características dos Cabos MX'!$C$15:$L$20,10),"")))))))</f>
        <v/>
      </c>
      <c r="M195" s="412" t="str">
        <f t="shared" si="46"/>
        <v/>
      </c>
      <c r="N195" s="445"/>
      <c r="O195" s="232" t="str">
        <f t="shared" si="55"/>
        <v/>
      </c>
      <c r="P195" s="233" t="str">
        <f t="shared" si="64"/>
        <v/>
      </c>
      <c r="Q195" s="233" t="str">
        <f t="shared" si="47"/>
        <v/>
      </c>
      <c r="R195" s="234" t="str">
        <f>IF(J195="Duplex",VLOOKUP(M195,'Características dos Cabos MX'!$C$12:$I$14,5),(IF(J195="Triplex",VLOOKUP(M195,'Características dos Cabos MX'!$C$15:$J$20,5),(IF(J195="Quadruplex",VLOOKUP(M195,'Características dos Cabos MX'!$C$21:$K$27,5),(IF(J195="13",VLOOKUP(M195,'Características dos Cabos MX'!$C$15:$L$20,5),"")))))))</f>
        <v/>
      </c>
      <c r="S195" s="234" t="str">
        <f>IF(J195="Duplex",VLOOKUP(M195,'Características dos Cabos MX'!$C$12:$I$14,6),(IF(J195="Triplex",VLOOKUP(M195,'Características dos Cabos MX'!$C$15:$J$20,6),(IF(J195="Quadruplex",VLOOKUP(M195,'Características dos Cabos MX'!$C$21:$K$27,6),(IF(J195="13",VLOOKUP(M195,'Características dos Cabos MX'!$C$15:$L$20,6),"")))))))</f>
        <v/>
      </c>
      <c r="T195" s="235" t="str">
        <f t="shared" si="57"/>
        <v/>
      </c>
      <c r="U195" s="236" t="str">
        <f>IF(J195="Duplex",VLOOKUP(M195,'Características dos Cabos MX'!$C$12:$I$14,2),(IF(J195="Triplex",VLOOKUP(M195,'Características dos Cabos MX'!$C$15:$J$20,2),(IF(J195="Quadruplex",VLOOKUP(M195,'Características dos Cabos MX'!$C$21:$K$27,2),(IF(J195="13",VLOOKUP(M195,'Características dos Cabos MX'!$C$15:$L$20,2),"")))))))</f>
        <v/>
      </c>
      <c r="V195" s="234" t="str">
        <f>IF(J195="Duplex",VLOOKUP(M195,'Características dos Cabos MX'!$C$12:$I$14,3),(IF(J195="Triplex",VLOOKUP(M195,'Características dos Cabos MX'!$C$15:$J$20,3),(IF(J195="Quadruplex",VLOOKUP(M195,'Características dos Cabos MX'!$C$21:$K$27,3),(IF(J195="13",VLOOKUP(M195,'Características dos Cabos MX'!$C$15:$L$20,3),"")))))))</f>
        <v/>
      </c>
      <c r="W195" s="237" t="str">
        <f t="shared" si="58"/>
        <v/>
      </c>
      <c r="X195" s="237" t="str">
        <f t="shared" si="59"/>
        <v/>
      </c>
      <c r="Y195" s="238" t="str">
        <f t="shared" si="60"/>
        <v/>
      </c>
      <c r="AA195" s="298">
        <f t="shared" si="56"/>
        <v>0</v>
      </c>
      <c r="AB195" s="298">
        <f t="shared" si="63"/>
        <v>0</v>
      </c>
      <c r="AC195" s="284"/>
      <c r="AE195" s="299" t="str">
        <f t="shared" si="52"/>
        <v/>
      </c>
      <c r="AF195" s="334">
        <f t="shared" si="53"/>
        <v>0</v>
      </c>
    </row>
    <row r="196" spans="1:32" ht="13" thickTop="1" x14ac:dyDescent="0.25">
      <c r="AE196" s="299"/>
      <c r="AF196" s="334"/>
    </row>
    <row r="197" spans="1:32" x14ac:dyDescent="0.25">
      <c r="A197" s="121" t="s">
        <v>243</v>
      </c>
    </row>
  </sheetData>
  <sheetProtection algorithmName="SHA-512" hashValue="11dkAToTEW22WvGPQRB9XJp670Ek6o2MYzp1toASVrPgiATrjW9ZbFt0QqM/herKq5Zw5Fe8VxT6ZBFMafgIow==" saltValue="PJ/i78DjYlsm2yDQ8tIA/A==" spinCount="100000" sheet="1" objects="1" scenarios="1" selectLockedCells="1"/>
  <customSheetViews>
    <customSheetView guid="{ADCFDDAA-AF71-42CE-8FD7-7ABB67CB940B}" showPageBreaks="1" showGridLines="0" printArea="1" hiddenColumns="1" view="pageBreakPreview">
      <selection activeCell="Y14" sqref="Y14"/>
      <rowBreaks count="5" manualBreakCount="5">
        <brk id="44" max="16383" man="1"/>
        <brk id="74" max="16383" man="1"/>
        <brk id="104" max="16383" man="1"/>
        <brk id="134" max="16383" man="1"/>
        <brk id="164" max="16383" man="1"/>
      </rowBreaks>
      <colBreaks count="1" manualBreakCount="1">
        <brk id="25" max="1048575" man="1"/>
      </colBreaks>
      <pageMargins left="0.39370078740157483" right="0.39370078740157483" top="0.39370078740157483" bottom="0.39370078740157483" header="0.51181102362204722" footer="0.51181102362204722"/>
      <printOptions horizontalCentered="1"/>
      <pageSetup paperSize="9" scale="76" orientation="landscape" horizontalDpi="300" verticalDpi="300" r:id="rId1"/>
      <headerFooter alignWithMargins="0"/>
    </customSheetView>
  </customSheetViews>
  <mergeCells count="66">
    <mergeCell ref="A19:A44"/>
    <mergeCell ref="A5:Y5"/>
    <mergeCell ref="A2:Y2"/>
    <mergeCell ref="D8:G8"/>
    <mergeCell ref="D7:G7"/>
    <mergeCell ref="I7:N7"/>
    <mergeCell ref="P17:P18"/>
    <mergeCell ref="O17:O18"/>
    <mergeCell ref="B19:B31"/>
    <mergeCell ref="C19:D19"/>
    <mergeCell ref="C17:D17"/>
    <mergeCell ref="E12:G12"/>
    <mergeCell ref="H12:J12"/>
    <mergeCell ref="T14:Y14"/>
    <mergeCell ref="P14:Q14"/>
    <mergeCell ref="C32:D32"/>
    <mergeCell ref="A1:Y1"/>
    <mergeCell ref="C10:D10"/>
    <mergeCell ref="E10:G10"/>
    <mergeCell ref="H10:J10"/>
    <mergeCell ref="N10:O10"/>
    <mergeCell ref="T10:Y10"/>
    <mergeCell ref="P10:Q10"/>
    <mergeCell ref="K10:L10"/>
    <mergeCell ref="P7:Y7"/>
    <mergeCell ref="P8:Y8"/>
    <mergeCell ref="AE18:AF18"/>
    <mergeCell ref="E14:G14"/>
    <mergeCell ref="H14:J14"/>
    <mergeCell ref="Y17:Y18"/>
    <mergeCell ref="G17:G18"/>
    <mergeCell ref="H17:H18"/>
    <mergeCell ref="J17:J18"/>
    <mergeCell ref="X17:X18"/>
    <mergeCell ref="U17:U18"/>
    <mergeCell ref="W17:W18"/>
    <mergeCell ref="R17:R18"/>
    <mergeCell ref="T17:T18"/>
    <mergeCell ref="S17:S18"/>
    <mergeCell ref="K14:L14"/>
    <mergeCell ref="N14:O14"/>
    <mergeCell ref="Q17:Q18"/>
    <mergeCell ref="A46:A195"/>
    <mergeCell ref="B46:B55"/>
    <mergeCell ref="B56:B65"/>
    <mergeCell ref="B66:B75"/>
    <mergeCell ref="B76:B85"/>
    <mergeCell ref="B86:B95"/>
    <mergeCell ref="B96:B105"/>
    <mergeCell ref="B106:B115"/>
    <mergeCell ref="B116:B125"/>
    <mergeCell ref="B126:B135"/>
    <mergeCell ref="B136:B145"/>
    <mergeCell ref="B146:B155"/>
    <mergeCell ref="B156:B165"/>
    <mergeCell ref="B166:B175"/>
    <mergeCell ref="B32:B44"/>
    <mergeCell ref="J8:N8"/>
    <mergeCell ref="B176:B185"/>
    <mergeCell ref="B186:B195"/>
    <mergeCell ref="E17:E18"/>
    <mergeCell ref="K17:K18"/>
    <mergeCell ref="L17:L18"/>
    <mergeCell ref="N17:N18"/>
    <mergeCell ref="K12:L12"/>
    <mergeCell ref="N12:O12"/>
  </mergeCells>
  <phoneticPr fontId="0" type="noConversion"/>
  <conditionalFormatting sqref="Q15">
    <cfRule type="cellIs" dxfId="0" priority="1" operator="equal">
      <formula>"Dividir Área BT"</formula>
    </cfRule>
  </conditionalFormatting>
  <dataValidations count="3">
    <dataValidation type="list" allowBlank="1" showInputMessage="1" showErrorMessage="1" sqref="J20:J31 J33:J195">
      <formula1>Descrição</formula1>
    </dataValidation>
    <dataValidation type="list" allowBlank="1" showInputMessage="1" showErrorMessage="1" sqref="K20:K31 K33:K195">
      <formula1>INDIRECT(J20)</formula1>
    </dataValidation>
    <dataValidation type="list" allowBlank="1" showInputMessage="1" showErrorMessage="1" sqref="D12">
      <formula1>$AM$12:$AM$13</formula1>
    </dataValidation>
  </dataValidations>
  <printOptions horizontalCentered="1"/>
  <pageMargins left="0.39370078740157483" right="0.39370078740157483" top="0.39370078740157483" bottom="0.39370078740157483" header="0.51181102362204722" footer="0.51181102362204722"/>
  <pageSetup paperSize="9" scale="72" orientation="landscape" horizontalDpi="300" verticalDpi="300" r:id="rId2"/>
  <headerFooter alignWithMargins="0"/>
  <rowBreaks count="5" manualBreakCount="5">
    <brk id="45" max="24" man="1"/>
    <brk id="75" max="16383" man="1"/>
    <brk id="105" max="16383" man="1"/>
    <brk id="135" max="16383" man="1"/>
    <brk id="165" max="16383" man="1"/>
  </rowBreaks>
  <ignoredErrors>
    <ignoredError sqref="Y45 P56:P65 M45 P117:P125 P107:P115 P97:P105 P87:P95 P77:P85 P67:P75 P187:P195 P177:P185 P167:P175 P157:P165 P147:P155 P137:P145 P127:P135 P66 P136 P146 P156 P166 P176 P186 P76 P86 P96 P106 P116 P126" formula="1"/>
    <ignoredError sqref="F20 F45 F21:F30 F46:F195 F33:F43" unlockedFormula="1"/>
    <ignoredError sqref="C33" numberStoredAsText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4" r:id="rId5" name="Button 8">
              <controlPr defaultSize="0" print="0" autoFill="0" autoPict="0" macro="[0]!Macro1">
                <anchor moveWithCells="1" sizeWithCells="1">
                  <from>
                    <xdr:col>24</xdr:col>
                    <xdr:colOff>342900</xdr:colOff>
                    <xdr:row>2</xdr:row>
                    <xdr:rowOff>127000</xdr:rowOff>
                  </from>
                  <to>
                    <xdr:col>24</xdr:col>
                    <xdr:colOff>1028700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Sheet2!$I$2:$I$3</xm:f>
          </x14:formula1>
          <xm:sqref>J13</xm:sqref>
        </x14:dataValidation>
        <x14:dataValidation type="list" allowBlank="1" showInputMessage="1" showErrorMessage="1">
          <x14:formula1>
            <xm:f>Sheet2!$K$2:$K$3</xm:f>
          </x14:formula1>
          <xm:sqref>L11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K115"/>
  <sheetViews>
    <sheetView showGridLines="0" view="pageBreakPreview" zoomScaleNormal="75" zoomScaleSheetLayoutView="100" workbookViewId="0">
      <selection activeCell="D16" sqref="D16"/>
    </sheetView>
  </sheetViews>
  <sheetFormatPr defaultColWidth="9.1796875" defaultRowHeight="12.5" x14ac:dyDescent="0.25"/>
  <cols>
    <col min="1" max="1" width="1.81640625" style="121" customWidth="1"/>
    <col min="2" max="2" width="4.26953125" style="121" customWidth="1"/>
    <col min="3" max="3" width="10.453125" style="121" customWidth="1"/>
    <col min="4" max="4" width="9.7265625" style="121" customWidth="1"/>
    <col min="5" max="5" width="10.81640625" style="121" customWidth="1"/>
    <col min="6" max="6" width="10.7265625" style="121" hidden="1" customWidth="1"/>
    <col min="7" max="7" width="9.81640625" style="121" customWidth="1"/>
    <col min="8" max="8" width="14.7265625" style="121" customWidth="1"/>
    <col min="9" max="10" width="10.81640625" style="121" hidden="1" customWidth="1"/>
    <col min="11" max="11" width="13.81640625" style="121" customWidth="1"/>
    <col min="12" max="12" width="11.453125" style="121" customWidth="1"/>
    <col min="13" max="13" width="12.1796875" style="121" customWidth="1"/>
    <col min="14" max="14" width="11.7265625" style="121" hidden="1" customWidth="1"/>
    <col min="15" max="15" width="12.7265625" style="121" hidden="1" customWidth="1"/>
    <col min="16" max="16" width="14" style="121" customWidth="1"/>
    <col min="17" max="17" width="11.1796875" style="121" customWidth="1"/>
    <col min="18" max="18" width="10.81640625" style="121" customWidth="1"/>
    <col min="19" max="19" width="9.7265625" style="121" customWidth="1"/>
    <col min="20" max="20" width="13.54296875" style="121" hidden="1" customWidth="1"/>
    <col min="21" max="21" width="13.453125" style="121" hidden="1" customWidth="1"/>
    <col min="22" max="22" width="12" style="121" hidden="1" customWidth="1"/>
    <col min="23" max="23" width="11.453125" style="121" customWidth="1"/>
    <col min="24" max="24" width="8.7265625" style="121" hidden="1" customWidth="1"/>
    <col min="25" max="26" width="8.453125" style="121" hidden="1" customWidth="1"/>
    <col min="27" max="27" width="12.26953125" style="121" customWidth="1"/>
    <col min="28" max="30" width="9.1796875" style="121" hidden="1" customWidth="1"/>
    <col min="31" max="31" width="13" style="121" hidden="1" customWidth="1"/>
    <col min="32" max="37" width="9.1796875" style="121" hidden="1" customWidth="1"/>
    <col min="38" max="86" width="9.1796875" style="121" customWidth="1"/>
    <col min="87" max="16384" width="9.1796875" style="121"/>
  </cols>
  <sheetData>
    <row r="1" spans="1:36" ht="11.25" customHeight="1" x14ac:dyDescent="0.5">
      <c r="A1" s="268"/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</row>
    <row r="2" spans="1:36" ht="13" x14ac:dyDescent="0.3">
      <c r="A2" s="635"/>
      <c r="B2" s="635"/>
      <c r="C2" s="635"/>
      <c r="D2" s="635"/>
      <c r="E2" s="635"/>
      <c r="F2" s="635"/>
      <c r="G2" s="635"/>
      <c r="H2" s="635"/>
      <c r="I2" s="635"/>
      <c r="J2" s="635"/>
      <c r="K2" s="635"/>
      <c r="L2" s="635"/>
      <c r="M2" s="635"/>
      <c r="N2" s="635"/>
      <c r="O2" s="635"/>
      <c r="P2" s="635"/>
      <c r="Q2" s="635"/>
      <c r="R2" s="635"/>
      <c r="S2" s="635"/>
      <c r="T2" s="635"/>
      <c r="U2" s="635"/>
      <c r="V2" s="635"/>
      <c r="W2" s="635"/>
      <c r="X2" s="635"/>
      <c r="Y2" s="635"/>
      <c r="Z2" s="635"/>
      <c r="AA2" s="635"/>
    </row>
    <row r="3" spans="1:36" ht="20" x14ac:dyDescent="0.4">
      <c r="A3" s="513" t="s">
        <v>244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  <c r="Q3" s="513"/>
      <c r="R3" s="513"/>
      <c r="S3" s="513"/>
      <c r="T3" s="513"/>
      <c r="U3" s="513"/>
      <c r="V3" s="513"/>
      <c r="W3" s="513"/>
      <c r="X3" s="513"/>
      <c r="Y3" s="513"/>
      <c r="Z3" s="513"/>
      <c r="AA3" s="513"/>
    </row>
    <row r="5" spans="1:36" ht="12" customHeight="1" x14ac:dyDescent="0.25"/>
    <row r="6" spans="1:36" ht="20" x14ac:dyDescent="0.4">
      <c r="A6" s="513" t="s">
        <v>234</v>
      </c>
      <c r="B6" s="513"/>
      <c r="C6" s="513"/>
      <c r="D6" s="513"/>
      <c r="E6" s="513"/>
      <c r="F6" s="513"/>
      <c r="G6" s="513"/>
      <c r="H6" s="513"/>
      <c r="I6" s="513"/>
      <c r="J6" s="513"/>
      <c r="K6" s="513"/>
      <c r="L6" s="513"/>
      <c r="M6" s="513"/>
      <c r="N6" s="513"/>
      <c r="O6" s="513"/>
      <c r="P6" s="513"/>
      <c r="Q6" s="513"/>
      <c r="R6" s="513"/>
      <c r="S6" s="513"/>
      <c r="T6" s="513"/>
      <c r="U6" s="513"/>
      <c r="V6" s="513"/>
      <c r="W6" s="513"/>
      <c r="X6" s="513"/>
      <c r="Y6" s="513"/>
      <c r="Z6" s="513"/>
      <c r="AA6" s="513"/>
      <c r="AJ6" s="106"/>
    </row>
    <row r="7" spans="1:36" ht="12" customHeight="1" thickBot="1" x14ac:dyDescent="0.45">
      <c r="A7" s="269"/>
      <c r="B7" s="269"/>
      <c r="C7" s="269"/>
      <c r="D7" s="269"/>
      <c r="E7" s="269"/>
      <c r="F7" s="269"/>
      <c r="G7" s="269"/>
      <c r="H7" s="269"/>
      <c r="I7" s="269"/>
      <c r="J7" s="269"/>
      <c r="K7" s="269"/>
      <c r="L7" s="269"/>
      <c r="M7" s="269"/>
      <c r="N7" s="269"/>
      <c r="O7" s="269"/>
      <c r="P7" s="269"/>
      <c r="Q7" s="269"/>
      <c r="R7" s="269"/>
      <c r="S7" s="269"/>
      <c r="T7" s="269"/>
      <c r="U7" s="269"/>
      <c r="V7" s="269"/>
      <c r="AJ7" s="106"/>
    </row>
    <row r="8" spans="1:36" ht="16.5" customHeight="1" x14ac:dyDescent="0.3">
      <c r="A8" s="106"/>
      <c r="B8" s="106"/>
      <c r="C8" s="380" t="s">
        <v>187</v>
      </c>
      <c r="D8" s="653"/>
      <c r="E8" s="654"/>
      <c r="F8" s="654"/>
      <c r="G8" s="655"/>
      <c r="H8" s="199" t="s">
        <v>185</v>
      </c>
      <c r="I8" s="652"/>
      <c r="J8" s="652"/>
      <c r="K8" s="652"/>
      <c r="L8" s="652"/>
      <c r="M8" s="652"/>
      <c r="N8" s="652"/>
      <c r="O8" s="201" t="s">
        <v>189</v>
      </c>
      <c r="P8" s="201" t="s">
        <v>189</v>
      </c>
      <c r="Q8" s="652"/>
      <c r="R8" s="652"/>
      <c r="S8" s="652"/>
      <c r="T8" s="652"/>
      <c r="U8" s="652"/>
      <c r="V8" s="652"/>
      <c r="W8" s="652"/>
      <c r="X8" s="346"/>
      <c r="Y8" s="346"/>
      <c r="Z8" s="346"/>
      <c r="AA8" s="347"/>
    </row>
    <row r="9" spans="1:36" ht="15" customHeight="1" thickBot="1" x14ac:dyDescent="0.35">
      <c r="A9" s="106"/>
      <c r="B9" s="106"/>
      <c r="C9" s="381" t="s">
        <v>186</v>
      </c>
      <c r="D9" s="648"/>
      <c r="E9" s="649"/>
      <c r="F9" s="649"/>
      <c r="G9" s="650"/>
      <c r="H9" s="200" t="s">
        <v>260</v>
      </c>
      <c r="I9" s="204"/>
      <c r="J9" s="651"/>
      <c r="K9" s="651"/>
      <c r="L9" s="651"/>
      <c r="M9" s="205"/>
      <c r="N9" s="205"/>
      <c r="O9" s="200" t="s">
        <v>188</v>
      </c>
      <c r="P9" s="200" t="s">
        <v>259</v>
      </c>
      <c r="Q9" s="651"/>
      <c r="R9" s="651"/>
      <c r="S9" s="651"/>
      <c r="T9" s="651"/>
      <c r="U9" s="651"/>
      <c r="V9" s="651"/>
      <c r="W9" s="651"/>
      <c r="X9" s="651"/>
      <c r="Y9" s="651"/>
      <c r="Z9" s="651"/>
      <c r="AA9" s="656"/>
    </row>
    <row r="10" spans="1:36" s="106" customFormat="1" ht="4.5" customHeight="1" thickBot="1" x14ac:dyDescent="0.3"/>
    <row r="11" spans="1:36" ht="13.5" customHeight="1" thickBot="1" x14ac:dyDescent="0.3">
      <c r="A11" s="106"/>
      <c r="B11" s="106"/>
      <c r="C11" s="617" t="s">
        <v>123</v>
      </c>
      <c r="D11" s="618"/>
      <c r="E11" s="615" t="s">
        <v>77</v>
      </c>
      <c r="F11" s="619"/>
      <c r="G11" s="616"/>
      <c r="H11" s="622" t="s">
        <v>192</v>
      </c>
      <c r="I11" s="623"/>
      <c r="J11" s="623"/>
      <c r="K11" s="624"/>
      <c r="L11" s="615" t="s">
        <v>115</v>
      </c>
      <c r="M11" s="616"/>
      <c r="N11" s="106"/>
      <c r="O11" s="106"/>
      <c r="P11" s="615" t="s">
        <v>108</v>
      </c>
      <c r="Q11" s="616"/>
      <c r="R11" s="615" t="s">
        <v>118</v>
      </c>
      <c r="S11" s="616"/>
      <c r="W11" s="106"/>
      <c r="X11" s="106"/>
      <c r="Y11" s="106"/>
      <c r="Z11" s="106"/>
      <c r="AA11" s="106"/>
    </row>
    <row r="12" spans="1:36" ht="13.5" customHeight="1" thickBot="1" x14ac:dyDescent="0.3">
      <c r="A12" s="106"/>
      <c r="B12" s="106"/>
      <c r="C12" s="106"/>
      <c r="D12" s="106"/>
      <c r="E12" s="106"/>
      <c r="G12" s="103"/>
      <c r="H12" s="179" t="s">
        <v>193</v>
      </c>
      <c r="K12" s="67"/>
      <c r="L12" s="106"/>
      <c r="M12" s="348" t="str">
        <f>IF(H20="","",H20*1000)</f>
        <v/>
      </c>
      <c r="N12" s="106"/>
      <c r="O12" s="106"/>
      <c r="P12" s="176" t="s">
        <v>109</v>
      </c>
      <c r="Q12" s="271" t="str">
        <f>IF(W20="","",MAX(W20:W116))</f>
        <v/>
      </c>
      <c r="R12" s="176" t="s">
        <v>109</v>
      </c>
      <c r="S12" s="271" t="str">
        <f>IF(R20="","",MAX(R20:R116))</f>
        <v/>
      </c>
      <c r="W12" s="106"/>
      <c r="X12" s="106"/>
      <c r="Y12" s="106"/>
      <c r="Z12" s="106"/>
      <c r="AA12" s="106"/>
    </row>
    <row r="13" spans="1:36" ht="13.5" customHeight="1" thickBot="1" x14ac:dyDescent="0.3">
      <c r="A13" s="106"/>
      <c r="B13" s="106"/>
      <c r="C13" s="615" t="s">
        <v>122</v>
      </c>
      <c r="D13" s="616"/>
      <c r="E13" s="620" t="s">
        <v>4</v>
      </c>
      <c r="F13" s="621"/>
      <c r="G13" s="621"/>
      <c r="H13" s="615" t="s">
        <v>78</v>
      </c>
      <c r="I13" s="619"/>
      <c r="J13" s="619"/>
      <c r="K13" s="616"/>
      <c r="L13" s="615" t="s">
        <v>116</v>
      </c>
      <c r="M13" s="616"/>
      <c r="N13" s="106"/>
      <c r="O13" s="106"/>
      <c r="P13" s="176" t="s">
        <v>110</v>
      </c>
      <c r="Q13" s="274" t="str">
        <f>IF(Q12="","",VLOOKUP(Q12,W20:AC76,7,FALSE))</f>
        <v/>
      </c>
      <c r="R13" s="176" t="s">
        <v>110</v>
      </c>
      <c r="S13" s="274" t="str">
        <f>IF(S12="","",VLOOKUP(S12,R20:AC76,12,FALSE))</f>
        <v/>
      </c>
      <c r="W13" s="106"/>
      <c r="X13" s="106"/>
      <c r="Y13" s="106"/>
      <c r="Z13" s="106"/>
      <c r="AA13" s="106"/>
    </row>
    <row r="14" spans="1:36" ht="13.5" customHeight="1" thickBot="1" x14ac:dyDescent="0.3">
      <c r="A14" s="106"/>
      <c r="B14" s="106"/>
      <c r="C14" s="106"/>
      <c r="D14" s="67"/>
      <c r="E14" s="105"/>
      <c r="F14" s="175"/>
      <c r="G14" s="67"/>
      <c r="H14" s="106"/>
      <c r="I14" s="106"/>
      <c r="J14" s="106"/>
      <c r="K14" s="349" t="str">
        <f>IF(G16="","",(0.7*(G16)^2)+(0.3*G16))</f>
        <v/>
      </c>
      <c r="L14" s="106"/>
      <c r="M14" s="350" t="str">
        <f>IF(OR(K16="",M12=""),"",K16/($G$16*M12*G14*8760))</f>
        <v/>
      </c>
      <c r="N14" s="106"/>
      <c r="O14" s="106"/>
      <c r="P14" s="176" t="s">
        <v>111</v>
      </c>
      <c r="Q14" s="274" t="str">
        <f>IF(Q13="","",VLOOKUP(Q13,AC20:AD76,2,FALSE))</f>
        <v/>
      </c>
      <c r="R14" s="176" t="s">
        <v>111</v>
      </c>
      <c r="S14" s="274" t="str">
        <f>IF(S13="","",VLOOKUP(S13,AC20:AD5276,2,FALSE))</f>
        <v/>
      </c>
      <c r="W14" s="106"/>
      <c r="X14" s="106"/>
      <c r="Y14" s="106"/>
      <c r="Z14" s="106"/>
      <c r="AA14" s="106"/>
    </row>
    <row r="15" spans="1:36" ht="13.5" customHeight="1" thickBot="1" x14ac:dyDescent="0.3">
      <c r="A15" s="106"/>
      <c r="B15" s="106"/>
      <c r="C15" s="620" t="s">
        <v>121</v>
      </c>
      <c r="D15" s="620"/>
      <c r="E15" s="620" t="s">
        <v>3</v>
      </c>
      <c r="F15" s="621"/>
      <c r="G15" s="621"/>
      <c r="H15" s="620" t="s">
        <v>107</v>
      </c>
      <c r="I15" s="621"/>
      <c r="J15" s="621"/>
      <c r="K15" s="621"/>
      <c r="L15" s="620" t="s">
        <v>112</v>
      </c>
      <c r="M15" s="621"/>
      <c r="N15" s="106"/>
      <c r="O15" s="106"/>
      <c r="P15" s="106"/>
      <c r="Q15" s="106"/>
      <c r="R15" s="106"/>
      <c r="S15" s="106"/>
      <c r="W15" s="106"/>
      <c r="X15" s="106"/>
      <c r="Y15" s="106"/>
      <c r="Z15" s="106"/>
      <c r="AA15" s="106"/>
    </row>
    <row r="16" spans="1:36" ht="13" thickBot="1" x14ac:dyDescent="0.3">
      <c r="A16" s="106"/>
      <c r="B16" s="106"/>
      <c r="C16" s="106"/>
      <c r="D16" s="68"/>
      <c r="E16" s="106"/>
      <c r="G16" s="67"/>
      <c r="H16" s="106"/>
      <c r="I16" s="106"/>
      <c r="J16" s="106"/>
      <c r="K16" s="276">
        <f>SUM(AA20:AA52)</f>
        <v>0</v>
      </c>
      <c r="L16" s="176" t="s">
        <v>138</v>
      </c>
      <c r="M16" s="276" t="str">
        <f>IF(AND(P20="",P32=""),"",MAX(AE20:AE35))</f>
        <v/>
      </c>
      <c r="N16" s="351"/>
      <c r="O16" s="351"/>
      <c r="P16" s="106"/>
      <c r="Q16" s="106"/>
      <c r="R16" s="106"/>
      <c r="S16" s="106"/>
      <c r="W16" s="106"/>
      <c r="X16" s="106"/>
      <c r="Y16" s="106"/>
      <c r="Z16" s="106"/>
      <c r="AA16" s="106"/>
    </row>
    <row r="17" spans="1:35" ht="9" customHeight="1" thickBot="1" x14ac:dyDescent="0.3">
      <c r="A17" s="106"/>
      <c r="B17" s="106"/>
      <c r="C17" s="106"/>
      <c r="D17" s="105"/>
      <c r="E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W17" s="106"/>
      <c r="X17" s="106"/>
      <c r="Y17" s="106"/>
      <c r="Z17" s="106"/>
      <c r="AA17" s="106"/>
    </row>
    <row r="18" spans="1:35" ht="20.25" customHeight="1" thickBot="1" x14ac:dyDescent="0.3">
      <c r="A18" s="106"/>
      <c r="B18" s="106"/>
      <c r="C18" s="646" t="s">
        <v>0</v>
      </c>
      <c r="D18" s="647"/>
      <c r="E18" s="625" t="s">
        <v>144</v>
      </c>
      <c r="F18" s="181"/>
      <c r="G18" s="629" t="s">
        <v>130</v>
      </c>
      <c r="H18" s="644" t="s">
        <v>131</v>
      </c>
      <c r="I18" s="631" t="s">
        <v>134</v>
      </c>
      <c r="J18" s="631" t="s">
        <v>133</v>
      </c>
      <c r="K18" s="625" t="s">
        <v>135</v>
      </c>
      <c r="L18" s="629" t="s">
        <v>40</v>
      </c>
      <c r="M18" s="629" t="s">
        <v>79</v>
      </c>
      <c r="N18" s="281"/>
      <c r="O18" s="352"/>
      <c r="P18" s="629" t="s">
        <v>132</v>
      </c>
      <c r="Q18" s="629" t="s">
        <v>41</v>
      </c>
      <c r="R18" s="629" t="s">
        <v>75</v>
      </c>
      <c r="S18" s="629" t="s">
        <v>257</v>
      </c>
      <c r="T18" s="633" t="s">
        <v>137</v>
      </c>
      <c r="U18" s="633" t="s">
        <v>136</v>
      </c>
      <c r="V18" s="633" t="s">
        <v>95</v>
      </c>
      <c r="W18" s="625" t="s">
        <v>89</v>
      </c>
      <c r="X18" s="627" t="s">
        <v>183</v>
      </c>
      <c r="Y18" s="627" t="s">
        <v>184</v>
      </c>
      <c r="Z18" s="627" t="s">
        <v>1</v>
      </c>
      <c r="AA18" s="625" t="s">
        <v>96</v>
      </c>
    </row>
    <row r="19" spans="1:35" ht="17.25" customHeight="1" thickBot="1" x14ac:dyDescent="0.3">
      <c r="A19" s="106"/>
      <c r="B19" s="106"/>
      <c r="C19" s="353" t="s">
        <v>36</v>
      </c>
      <c r="D19" s="353" t="s">
        <v>37</v>
      </c>
      <c r="E19" s="626"/>
      <c r="F19" s="183"/>
      <c r="G19" s="630"/>
      <c r="H19" s="645"/>
      <c r="I19" s="632"/>
      <c r="J19" s="632"/>
      <c r="K19" s="626"/>
      <c r="L19" s="630"/>
      <c r="M19" s="630"/>
      <c r="N19" s="283"/>
      <c r="O19" s="283"/>
      <c r="P19" s="630"/>
      <c r="Q19" s="630"/>
      <c r="R19" s="630"/>
      <c r="S19" s="630"/>
      <c r="T19" s="634"/>
      <c r="U19" s="634"/>
      <c r="V19" s="634"/>
      <c r="W19" s="626"/>
      <c r="X19" s="628"/>
      <c r="Y19" s="628"/>
      <c r="Z19" s="628"/>
      <c r="AA19" s="626"/>
      <c r="AB19" s="354"/>
      <c r="AC19" s="354" t="s">
        <v>110</v>
      </c>
      <c r="AD19" s="354" t="s">
        <v>111</v>
      </c>
      <c r="AE19" s="354" t="s">
        <v>113</v>
      </c>
      <c r="AF19" s="285" t="s">
        <v>81</v>
      </c>
      <c r="AG19" s="286" t="s">
        <v>82</v>
      </c>
      <c r="AH19" s="287" t="s">
        <v>114</v>
      </c>
      <c r="AI19" s="286" t="s">
        <v>82</v>
      </c>
    </row>
    <row r="20" spans="1:35" ht="12" customHeight="1" thickTop="1" thickBot="1" x14ac:dyDescent="0.3">
      <c r="A20" s="106"/>
      <c r="B20" s="641" t="s">
        <v>106</v>
      </c>
      <c r="C20" s="69"/>
      <c r="D20" s="70"/>
      <c r="E20" s="71"/>
      <c r="F20" s="45" t="str">
        <f>IF(E20="","",E20*($G$12/100+1)^($K$12-1))</f>
        <v/>
      </c>
      <c r="G20" s="62"/>
      <c r="H20" s="355" t="str">
        <f>IF(AND(E20="",G20=""),"",SUM(F20:$G$35))</f>
        <v/>
      </c>
      <c r="I20" s="321" t="str">
        <f>IF(OR(L20="",M20=""),"",IF(L20="3",VLOOKUP(N20,'K% (Rede Convencional)'!$B$18:$H$29,5),(IF(L20="2",VLOOKUP(O20,'K% (Rede Convencional)'!$B$18:$H$29,6),(IF(L20="1",VLOOKUP(O20,'K% (Rede Convencional)'!$B$18:$H$29,7)))))))</f>
        <v/>
      </c>
      <c r="J20" s="321" t="str">
        <f>IF(OR(L20="",M20=""),"",IF(L20="3",VLOOKUP(N20,'K% (Rede Convencional)'!$B$18:$E$29,2),(IF(L20="2",VLOOKUP(O20,'K% (Rede Convencional)'!$B$18:$E$29,3),(IF(L20="1",VLOOKUP(O20,'K% (Rede Convencional)'!$B$18:$E$29,4)))))))</f>
        <v/>
      </c>
      <c r="K20" s="321" t="str">
        <f>IF(OR(I20="",J20=""),"",(IF(OR($D$16="CAA",$D$16="caa"),J20,(IF(OR($D$16="CA",$D$16="ca"),I20)))))</f>
        <v/>
      </c>
      <c r="L20" s="60"/>
      <c r="M20" s="60"/>
      <c r="N20" s="91"/>
      <c r="O20" s="92"/>
      <c r="P20" s="62"/>
      <c r="Q20" s="322" t="str">
        <f>IF(OR(H20="",K20="",P20=""),"",K20*H20*P20)</f>
        <v/>
      </c>
      <c r="R20" s="322" t="str">
        <f>IF(Q20="","",SUM($Q$20:Q20))</f>
        <v/>
      </c>
      <c r="S20" s="322" t="str">
        <f>IF(H20="","",IF(L20="3",H20*1000/($D$14*SQRT(3)),IF(L20="2",H20*1000*SQRT(3)/($D$14*2),IF(L20="1",H20*1000*SQRT(3)/$D$14))))</f>
        <v/>
      </c>
      <c r="T20" s="323" t="str">
        <f>IF(OR(N20="a",O20="a"),VLOOKUP("a",'Características dos Cabos'!$D$25:$L$29,9),IF(OR(N20="b",N20="c",O20="b",O20="c"),VLOOKUP("b",'Características dos Cabos'!$D$25:$L$29,9),IF(OR(N20="d",N20="e",O20="d",O20="e"),VLOOKUP("c",'Características dos Cabos'!$D$25:$L$29,9),IF(OR(N20="f",N20="g",N20="h",O20="f",O20="g",O20="h"),VLOOKUP("d",'Características dos Cabos'!$D$25:$L$29,9),IF(OR(N20="i",N20="j",N20="l",N20="m",O20="i",O21="j",O21="l",O21="m"),VLOOKUP("e",'Características dos Cabos'!$D$25:$L$29,9),"")))))</f>
        <v/>
      </c>
      <c r="U20" s="323" t="str">
        <f>IF(OR(N20="a",O20="a"),VLOOKUP("a",'Características dos Cabos'!$D$14:$K$18,8),IF(OR(N20="b",N20="c",O20="b",O20="c"),VLOOKUP("b",'Características dos Cabos'!$D$14:$K$18,8),IF(OR(N20="d",N20="e",O20="d",O20="e"),VLOOKUP("c",'Características dos Cabos'!$D$14:$K$18,8),IF(OR(N20="f",N20="g",N20="h",O20="f",O20="g",O20="h"),VLOOKUP("d",'Características dos Cabos'!$D$14:$K$18,8),IF(OR(N20="i",N20="j",N20="l",N20="m",O20="i",O21="j",O21="l",O21="m"),VLOOKUP("e",'Características dos Cabos'!$D$14:$K$18,8),"")))))</f>
        <v/>
      </c>
      <c r="V20" s="323" t="str">
        <f>IF(AND(T20="",U20=""),"",(IF(OR($D$16="CAA",$D$16="caa"),U20,(IF(OR($D$16="CA",$D$16="ca"),T20)))))</f>
        <v/>
      </c>
      <c r="W20" s="322" t="str">
        <f>IF(OR(N20="",S20="",T20=""),"",S20*100/T20)</f>
        <v/>
      </c>
      <c r="X20" s="356" t="str">
        <f>IF(OR(N20="a",O20="a"),VLOOKUP("a",'Características dos Cabos'!$D$25:$L$29,3),IF(OR(N20="b",N20="c",O20="b",O20="c"),VLOOKUP("b",'Características dos Cabos'!$D$25:$L$29,3),IF(OR(N20="d",N20="e",O20="d",O20="e"),VLOOKUP("c",'Características dos Cabos'!$D$25:$L$29,3),IF(OR(N20="f",N20="g",N20="h",O20="f",O20="g",O20="h"),VLOOKUP("d",'Características dos Cabos'!$D$25:$L$29,3),IF(OR(N20="i",N20="j",N20="l",N20="m",O20="i",O20="j",O20="l",O20="m"),VLOOKUP("e",'Características dos Cabos'!$D$25:$L$29,3),"")))))</f>
        <v/>
      </c>
      <c r="Y20" s="356" t="str">
        <f>IF(OR(N20="a",O20="a"),VLOOKUP("a",'Características dos Cabos'!$D$14:$K$18,4),IF(OR(N20="b",N20="c",O20="b",O20="c"),VLOOKUP("b",'Características dos Cabos'!$D$14:$K$18,4),IF(OR(N20="d",N20="e",O20="d",O20="e"),VLOOKUP("c",'Características dos Cabos'!$D$14:$K$18,4),IF(OR(N20="f",N20="g",N20="h",O20="f",O20="g",O20="h"),VLOOKUP("d",'Características dos Cabos'!$D$14:$K$18,4),IF(OR(N20="i",N20="j",N20="l",N20="m",O20="i",O20="j",O20="l",O20="m"),VLOOKUP("e",'Características dos Cabos'!$D$14:$K$18,4),"")))))</f>
        <v/>
      </c>
      <c r="Z20" s="323" t="str">
        <f>IF(AND(X20="",Y20=""),"",(IF(OR($D$16="CAA",$D$16="caa"),Y20,(IF(OR($D$16="CA",$D$16="ca"),X20)))))</f>
        <v/>
      </c>
      <c r="AA20" s="324" t="str">
        <f t="shared" ref="AA20:AA35" si="0">IF(OR(P20="",$G$16="",H20="",N20=""),"",IF(L20="3",3*$K$14*Z20*P20*((S20)^2)*8.76,IF(L20="2",2*$K$14*Z20*P20*((S20)^2)*8.76,IF(L20="1",$K$14*Z20*P20*((S20)^2)*8.76))))</f>
        <v/>
      </c>
      <c r="AB20" s="354"/>
      <c r="AC20" s="357">
        <f t="shared" ref="AC20:AC35" si="1">D20</f>
        <v>0</v>
      </c>
      <c r="AD20" s="357">
        <f t="shared" ref="AD20:AD35" si="2">M20</f>
        <v>0</v>
      </c>
      <c r="AE20" s="354">
        <f>SUM($P20:P$21)</f>
        <v>0</v>
      </c>
      <c r="AF20" s="301"/>
      <c r="AG20" s="302"/>
      <c r="AH20" s="303" t="s">
        <v>5</v>
      </c>
      <c r="AI20" s="302" t="s">
        <v>83</v>
      </c>
    </row>
    <row r="21" spans="1:35" ht="12" customHeight="1" thickTop="1" thickBot="1" x14ac:dyDescent="0.3">
      <c r="A21" s="106"/>
      <c r="B21" s="642"/>
      <c r="C21" s="72"/>
      <c r="D21" s="73"/>
      <c r="E21" s="74"/>
      <c r="F21" s="45" t="str">
        <f t="shared" ref="F21:F76" si="3">IF(E21="","",E21*($G$12/100+1)^($K$12-1))</f>
        <v/>
      </c>
      <c r="G21" s="63"/>
      <c r="H21" s="358" t="str">
        <f>IF(AND(E21="",G21=""),"",SUM(F21:$G$35))</f>
        <v/>
      </c>
      <c r="I21" s="307" t="str">
        <f>IF(OR(L21="",M21=""),"",IF(L21="3",VLOOKUP(N21,'K% (Rede Convencional)'!$B$18:$H$29,5),(IF(L21="2",VLOOKUP(O21,'K% (Rede Convencional)'!$B$18:$H$29,6),(IF(L21="1",VLOOKUP(O21,'K% (Rede Convencional)'!$B$18:$H$29,7)))))))</f>
        <v/>
      </c>
      <c r="J21" s="307" t="str">
        <f>IF(OR(L21="",M21=""),"",IF(L21="3",VLOOKUP(N21,'K% (Rede Convencional)'!$B$18:$E$29,2),(IF(L21="2",VLOOKUP(O21,'K% (Rede Convencional)'!$B$18:$E$29,3),(IF(L21="1",VLOOKUP(O21,'K% (Rede Convencional)'!$B$18:$E$29,4)))))))</f>
        <v/>
      </c>
      <c r="K21" s="307" t="str">
        <f t="shared" ref="K21:K52" si="4">IF(OR(I21="",J21=""),"",(IF(OR($D$16="CAA",$D$16="caa"),J21,(IF(OR($D$16="CA",$D$16="ca"),I21)))))</f>
        <v/>
      </c>
      <c r="L21" s="59"/>
      <c r="M21" s="59"/>
      <c r="N21" s="91"/>
      <c r="O21" s="92"/>
      <c r="P21" s="63"/>
      <c r="Q21" s="309" t="str">
        <f t="shared" ref="Q21:Q52" si="5">IF(OR(H21="",K21="",P21=""),"",K21*H21*P21)</f>
        <v/>
      </c>
      <c r="R21" s="309" t="str">
        <f>IF(Q21="","",SUM($Q$20:Q21))</f>
        <v/>
      </c>
      <c r="S21" s="309" t="str">
        <f>IF(H21="","",IF(L21="3",H21*1000/($D$14*SQRT(3)),IF(L21="2",H21*1000*SQRT(3)/($D$14*2),IF(L21="1",H21*1000*SQRT(3)/$D$14))))</f>
        <v/>
      </c>
      <c r="T21" s="310" t="str">
        <f>IF(OR(N21="a",O21="a"),VLOOKUP("a",'Características dos Cabos'!$D$25:$L$29,9),IF(OR(N21="b",N21="c",O21="b",O21="c"),VLOOKUP("b",'Características dos Cabos'!$D$25:$L$29,9),IF(OR(N21="d",N21="e",O21="d",O21="e"),VLOOKUP("c",'Características dos Cabos'!$D$25:$L$29,9),IF(OR(N21="f",N21="g",N21="h",O21="f",O21="g",O21="h"),VLOOKUP("d",'Características dos Cabos'!$D$25:$L$29,9),IF(OR(N21="i",N21="j",N21="l",N21="m",O21="i",O22="j",O22="l",O22="m"),VLOOKUP("e",'Características dos Cabos'!$D$25:$L$29,9),"")))))</f>
        <v/>
      </c>
      <c r="U21" s="310" t="str">
        <f>IF(OR(N21="a",O21="a"),VLOOKUP("a",'Características dos Cabos'!$D$14:$K$18,8),IF(OR(N21="b",N21="c",O21="b",O21="c"),VLOOKUP("b",'Características dos Cabos'!$D$14:$K$18,8),IF(OR(N21="d",N21="e",O21="d",O21="e"),VLOOKUP("c",'Características dos Cabos'!$D$14:$K$18,8),IF(OR(N21="f",N21="g",N21="h",O21="f",O21="g",O21="h"),VLOOKUP("d",'Características dos Cabos'!$D$14:$K$18,8),IF(OR(N21="i",N21="j",N21="l",N21="m",O21="i",O22="j",O22="l",O22="m"),VLOOKUP("e",'Características dos Cabos'!$D$14:$K$18,8),"")))))</f>
        <v/>
      </c>
      <c r="V21" s="310" t="str">
        <f t="shared" ref="V21:V52" si="6">IF(AND(T21="",U21=""),"",(IF(OR($D$16="CAA",$D$16="caa"),U21,(IF(OR($D$16="CA",$D$16="ca"),T21)))))</f>
        <v/>
      </c>
      <c r="W21" s="309" t="str">
        <f t="shared" ref="W21:W52" si="7">IF(OR(N21="",S21="",T21=""),"",S21*100/T21)</f>
        <v/>
      </c>
      <c r="X21" s="359" t="str">
        <f>IF(OR(N21="a",O21="a"),VLOOKUP("a",'Características dos Cabos'!$D$25:$L$29,3),IF(OR(N21="b",N21="c",O21="b",O21="c"),VLOOKUP("b",'Características dos Cabos'!$D$25:$L$29,3),IF(OR(N21="d",N21="e",O21="d",O21="e"),VLOOKUP("c",'Características dos Cabos'!$D$25:$L$29,3),IF(OR(N21="f",N21="g",N21="h",O21="f",O21="g",O21="h"),VLOOKUP("d",'Características dos Cabos'!$D$25:$L$29,3),IF(OR(N21="i",N21="j",N21="l",N21="m",O21="i",O21="j",O21="l",O21="m"),VLOOKUP("e",'Características dos Cabos'!$D$25:$L$29,3),"")))))</f>
        <v/>
      </c>
      <c r="Y21" s="359" t="str">
        <f>IF(OR(N21="a",O21="a"),VLOOKUP("a",'Características dos Cabos'!$D$14:$K$18,4),IF(OR(N21="b",N21="c",O21="b",O21="c"),VLOOKUP("b",'Características dos Cabos'!$D$14:$K$18,4),IF(OR(N21="d",N21="e",O21="d",O21="e"),VLOOKUP("c",'Características dos Cabos'!$D$14:$K$18,4),IF(OR(N21="f",N21="g",N21="h",O21="f",O21="g",O21="h"),VLOOKUP("d",'Características dos Cabos'!$D$14:$K$18,4),IF(OR(N21="i",N21="j",N21="l",N21="m",O21="i",O21="j",O21="l",O21="m"),VLOOKUP("e",'Características dos Cabos'!$D$14:$K$18,4),"")))))</f>
        <v/>
      </c>
      <c r="Z21" s="310" t="str">
        <f t="shared" ref="Z21:Z52" si="8">IF(AND(X21="",Y21=""),"",(IF(OR($D$16="CAA",$D$16="caa"),Y21,(IF(OR($D$16="CA",$D$16="ca"),X21)))))</f>
        <v/>
      </c>
      <c r="AA21" s="311" t="str">
        <f t="shared" si="0"/>
        <v/>
      </c>
      <c r="AB21" s="354"/>
      <c r="AC21" s="357">
        <f t="shared" si="1"/>
        <v>0</v>
      </c>
      <c r="AD21" s="357">
        <f t="shared" si="2"/>
        <v>0</v>
      </c>
      <c r="AE21" s="354">
        <f>SUM($P$21:P21)</f>
        <v>0</v>
      </c>
      <c r="AF21" s="301" t="s">
        <v>64</v>
      </c>
      <c r="AG21" s="302" t="s">
        <v>83</v>
      </c>
      <c r="AH21" s="303" t="s">
        <v>2</v>
      </c>
      <c r="AI21" s="302" t="s">
        <v>85</v>
      </c>
    </row>
    <row r="22" spans="1:35" ht="12" customHeight="1" thickTop="1" thickBot="1" x14ac:dyDescent="0.3">
      <c r="A22" s="106"/>
      <c r="B22" s="642"/>
      <c r="C22" s="72"/>
      <c r="D22" s="73"/>
      <c r="E22" s="74"/>
      <c r="F22" s="45" t="str">
        <f t="shared" si="3"/>
        <v/>
      </c>
      <c r="G22" s="63"/>
      <c r="H22" s="358" t="str">
        <f>IF(AND(E22="",G22=""),"",SUM(F22:$G$35))</f>
        <v/>
      </c>
      <c r="I22" s="307" t="str">
        <f>IF(OR(L22="",M22=""),"",IF(L22="3",VLOOKUP(N22,'K% (Rede Convencional)'!$B$18:$H$29,5),(IF(L22="2",VLOOKUP(O22,'K% (Rede Convencional)'!$B$18:$H$29,6),(IF(L22="1",VLOOKUP(O22,'K% (Rede Convencional)'!$B$18:$H$29,7)))))))</f>
        <v/>
      </c>
      <c r="J22" s="307" t="str">
        <f>IF(OR(L22="",M22=""),"",IF(L22="3",VLOOKUP(N22,'K% (Rede Convencional)'!$B$18:$E$29,2),(IF(L22="2",VLOOKUP(O22,'K% (Rede Convencional)'!$B$18:$E$29,3),(IF(L22="1",VLOOKUP(O22,'K% (Rede Convencional)'!$B$18:$E$29,4)))))))</f>
        <v/>
      </c>
      <c r="K22" s="307" t="str">
        <f t="shared" si="4"/>
        <v/>
      </c>
      <c r="L22" s="59"/>
      <c r="M22" s="59"/>
      <c r="N22" s="91"/>
      <c r="O22" s="92"/>
      <c r="P22" s="63"/>
      <c r="Q22" s="309" t="str">
        <f t="shared" si="5"/>
        <v/>
      </c>
      <c r="R22" s="309" t="str">
        <f>IF(Q22="","",SUM($Q$20:Q22))</f>
        <v/>
      </c>
      <c r="S22" s="309" t="str">
        <f t="shared" ref="S22:S52" si="9">IF(H22="","",IF(L22="3",H22*1000/($D$14*SQRT(3)),IF(L22="2",H22*1000*SQRT(3)/($D$14*2),IF(L22="1",H22*1000*SQRT(3)/$D$14))))</f>
        <v/>
      </c>
      <c r="T22" s="310" t="str">
        <f>IF(OR(N22="a",O22="a"),VLOOKUP("a",'Características dos Cabos'!$D$25:$L$29,9),IF(OR(N22="b",N22="c",O22="b",O22="c"),VLOOKUP("b",'Características dos Cabos'!$D$25:$L$29,9),IF(OR(N22="d",N22="e",O22="d",O22="e"),VLOOKUP("c",'Características dos Cabos'!$D$25:$L$29,9),IF(OR(N22="f",N22="g",N22="h",O22="f",O22="g",O22="h"),VLOOKUP("d",'Características dos Cabos'!$D$25:$L$29,9),IF(OR(N22="i",N22="j",N22="l",N22="m",O22="i",O23="j",O23="l",O23="m"),VLOOKUP("e",'Características dos Cabos'!$D$25:$L$29,9),"")))))</f>
        <v/>
      </c>
      <c r="U22" s="310" t="str">
        <f>IF(OR(N22="a",O22="a"),VLOOKUP("a",'Características dos Cabos'!$D$14:$K$18,8),IF(OR(N22="b",N22="c",O22="b",O22="c"),VLOOKUP("b",'Características dos Cabos'!$D$14:$K$18,8),IF(OR(N22="d",N22="e",O22="d",O22="e"),VLOOKUP("c",'Características dos Cabos'!$D$14:$K$18,8),IF(OR(N22="f",N22="g",N22="h",O22="f",O22="g",O22="h"),VLOOKUP("d",'Características dos Cabos'!$D$14:$K$18,8),IF(OR(N22="i",N22="j",N22="l",N22="m",O22="i",O23="j",O23="l",O23="m"),VLOOKUP("e",'Características dos Cabos'!$D$14:$K$18,8),"")))))</f>
        <v/>
      </c>
      <c r="V22" s="310" t="str">
        <f t="shared" si="6"/>
        <v/>
      </c>
      <c r="W22" s="309" t="str">
        <f t="shared" si="7"/>
        <v/>
      </c>
      <c r="X22" s="359" t="str">
        <f>IF(OR(N22="a",O22="a"),VLOOKUP("a",'Características dos Cabos'!$D$25:$L$29,3),IF(OR(N22="b",N22="c",O22="b",O22="c"),VLOOKUP("b",'Características dos Cabos'!$D$25:$L$29,3),IF(OR(N22="d",N22="e",O22="d",O22="e"),VLOOKUP("c",'Características dos Cabos'!$D$25:$L$29,3),IF(OR(N22="f",N22="g",N22="h",O22="f",O22="g",O22="h"),VLOOKUP("d",'Características dos Cabos'!$D$25:$L$29,3),IF(OR(N22="i",N22="j",N22="l",N22="m",O22="i",O22="j",O22="l",O22="m"),VLOOKUP("e",'Características dos Cabos'!$D$25:$L$29,3),"")))))</f>
        <v/>
      </c>
      <c r="Y22" s="359" t="str">
        <f>IF(OR(N22="a",O22="a"),VLOOKUP("a",'Características dos Cabos'!$D$14:$K$18,4),IF(OR(N22="b",N22="c",O22="b",O22="c"),VLOOKUP("b",'Características dos Cabos'!$D$14:$K$18,4),IF(OR(N22="d",N22="e",O22="d",O22="e"),VLOOKUP("c",'Características dos Cabos'!$D$14:$K$18,4),IF(OR(N22="f",N22="g",N22="h",O22="f",O22="g",O22="h"),VLOOKUP("d",'Características dos Cabos'!$D$14:$K$18,4),IF(OR(N22="i",N22="j",N22="l",N22="m",O22="i",O22="j",O22="l",O22="m"),VLOOKUP("e",'Características dos Cabos'!$D$14:$K$18,4),"")))))</f>
        <v/>
      </c>
      <c r="Z22" s="310" t="str">
        <f t="shared" si="8"/>
        <v/>
      </c>
      <c r="AA22" s="311" t="str">
        <f t="shared" si="0"/>
        <v/>
      </c>
      <c r="AB22" s="354"/>
      <c r="AC22" s="357">
        <f t="shared" si="1"/>
        <v>0</v>
      </c>
      <c r="AD22" s="357">
        <f t="shared" si="2"/>
        <v>0</v>
      </c>
      <c r="AE22" s="354">
        <f>SUM($P$21:P22)</f>
        <v>0</v>
      </c>
      <c r="AF22" s="301" t="s">
        <v>63</v>
      </c>
      <c r="AG22" s="302" t="s">
        <v>84</v>
      </c>
      <c r="AH22" s="303" t="s">
        <v>25</v>
      </c>
      <c r="AI22" s="302" t="s">
        <v>87</v>
      </c>
    </row>
    <row r="23" spans="1:35" ht="12" customHeight="1" thickTop="1" thickBot="1" x14ac:dyDescent="0.3">
      <c r="A23" s="106"/>
      <c r="B23" s="642"/>
      <c r="C23" s="72"/>
      <c r="D23" s="73"/>
      <c r="E23" s="74"/>
      <c r="F23" s="45" t="str">
        <f t="shared" si="3"/>
        <v/>
      </c>
      <c r="G23" s="63"/>
      <c r="H23" s="358" t="str">
        <f>IF(AND(E23="",G23=""),"",SUM(F23:$G$35))</f>
        <v/>
      </c>
      <c r="I23" s="307" t="str">
        <f>IF(OR(L23="",M23=""),"",IF(L23="3",VLOOKUP(N23,'K% (Rede Convencional)'!$B$18:$H$29,5),(IF(L23="2",VLOOKUP(O23,'K% (Rede Convencional)'!$B$18:$H$29,6),(IF(L23="1",VLOOKUP(O23,'K% (Rede Convencional)'!$B$18:$H$29,7)))))))</f>
        <v/>
      </c>
      <c r="J23" s="307" t="str">
        <f>IF(OR(L23="",M23=""),"",IF(L23="3",VLOOKUP(N23,'K% (Rede Convencional)'!$B$18:$E$29,2),(IF(L23="2",VLOOKUP(O23,'K% (Rede Convencional)'!$B$18:$E$29,3),(IF(L23="1",VLOOKUP(O23,'K% (Rede Convencional)'!$B$18:$E$29,4)))))))</f>
        <v/>
      </c>
      <c r="K23" s="307" t="str">
        <f t="shared" si="4"/>
        <v/>
      </c>
      <c r="L23" s="59"/>
      <c r="M23" s="59"/>
      <c r="N23" s="91"/>
      <c r="O23" s="92"/>
      <c r="P23" s="63"/>
      <c r="Q23" s="309" t="str">
        <f t="shared" si="5"/>
        <v/>
      </c>
      <c r="R23" s="309" t="str">
        <f>IF(Q23="","",SUM($Q$20:Q23))</f>
        <v/>
      </c>
      <c r="S23" s="309" t="str">
        <f t="shared" si="9"/>
        <v/>
      </c>
      <c r="T23" s="310" t="str">
        <f>IF(OR(N23="a",O23="a"),VLOOKUP("a",'Características dos Cabos'!$D$25:$L$29,9),IF(OR(N23="b",N23="c",O23="b",O23="c"),VLOOKUP("b",'Características dos Cabos'!$D$25:$L$29,9),IF(OR(N23="d",N23="e",O23="d",O23="e"),VLOOKUP("c",'Características dos Cabos'!$D$25:$L$29,9),IF(OR(N23="f",N23="g",N23="h",O23="f",O23="g",O23="h"),VLOOKUP("d",'Características dos Cabos'!$D$25:$L$29,9),IF(OR(N23="i",N23="j",N23="l",N23="m",O23="i",O24="j",O24="l",O24="m"),VLOOKUP("e",'Características dos Cabos'!$D$25:$L$29,9),"")))))</f>
        <v/>
      </c>
      <c r="U23" s="310" t="str">
        <f>IF(OR(N23="a",O23="a"),VLOOKUP("a",'Características dos Cabos'!$D$14:$K$18,8),IF(OR(N23="b",N23="c",O23="b",O23="c"),VLOOKUP("b",'Características dos Cabos'!$D$14:$K$18,8),IF(OR(N23="d",N23="e",O23="d",O23="e"),VLOOKUP("c",'Características dos Cabos'!$D$14:$K$18,8),IF(OR(N23="f",N23="g",N23="h",O23="f",O23="g",O23="h"),VLOOKUP("d",'Características dos Cabos'!$D$14:$K$18,8),IF(OR(N23="i",N23="j",N23="l",N23="m",O23="i",O24="j",O24="l",O24="m"),VLOOKUP("e",'Características dos Cabos'!$D$14:$K$18,8),"")))))</f>
        <v/>
      </c>
      <c r="V23" s="310" t="str">
        <f t="shared" si="6"/>
        <v/>
      </c>
      <c r="W23" s="309" t="str">
        <f t="shared" si="7"/>
        <v/>
      </c>
      <c r="X23" s="359" t="str">
        <f>IF(OR(N23="a",O23="a"),VLOOKUP("a",'Características dos Cabos'!$D$25:$L$29,3),IF(OR(N23="b",N23="c",O23="b",O23="c"),VLOOKUP("b",'Características dos Cabos'!$D$25:$L$29,3),IF(OR(N23="d",N23="e",O23="d",O23="e"),VLOOKUP("c",'Características dos Cabos'!$D$25:$L$29,3),IF(OR(N23="f",N23="g",N23="h",O23="f",O23="g",O23="h"),VLOOKUP("d",'Características dos Cabos'!$D$25:$L$29,3),IF(OR(N23="i",N23="j",N23="l",N23="m",O23="i",O23="j",O23="l",O23="m"),VLOOKUP("e",'Características dos Cabos'!$D$25:$L$29,3),"")))))</f>
        <v/>
      </c>
      <c r="Y23" s="359" t="str">
        <f>IF(OR(N23="a",O23="a"),VLOOKUP("a",'Características dos Cabos'!$D$14:$K$18,4),IF(OR(N23="b",N23="c",O23="b",O23="c"),VLOOKUP("b",'Características dos Cabos'!$D$14:$K$18,4),IF(OR(N23="d",N23="e",O23="d",O23="e"),VLOOKUP("c",'Características dos Cabos'!$D$14:$K$18,4),IF(OR(N23="f",N23="g",N23="h",O23="f",O23="g",O23="h"),VLOOKUP("d",'Características dos Cabos'!$D$14:$K$18,4),IF(OR(N23="i",N23="j",N23="l",N23="m",O23="i",O23="j",O23="l",O23="m"),VLOOKUP("e",'Características dos Cabos'!$D$14:$K$18,4),"")))))</f>
        <v/>
      </c>
      <c r="Z23" s="310" t="str">
        <f t="shared" si="8"/>
        <v/>
      </c>
      <c r="AA23" s="311" t="str">
        <f t="shared" si="0"/>
        <v/>
      </c>
      <c r="AB23" s="354"/>
      <c r="AC23" s="357">
        <f t="shared" si="1"/>
        <v>0</v>
      </c>
      <c r="AD23" s="357">
        <f t="shared" si="2"/>
        <v>0</v>
      </c>
      <c r="AE23" s="354">
        <f>SUM($P$21:P23)</f>
        <v>0</v>
      </c>
      <c r="AF23" s="301"/>
      <c r="AG23" s="302"/>
      <c r="AH23" s="303" t="s">
        <v>120</v>
      </c>
      <c r="AI23" s="302" t="s">
        <v>91</v>
      </c>
    </row>
    <row r="24" spans="1:35" ht="12" customHeight="1" thickTop="1" thickBot="1" x14ac:dyDescent="0.3">
      <c r="A24" s="106"/>
      <c r="B24" s="642"/>
      <c r="C24" s="72"/>
      <c r="D24" s="73"/>
      <c r="E24" s="74"/>
      <c r="F24" s="45" t="str">
        <f t="shared" si="3"/>
        <v/>
      </c>
      <c r="G24" s="63"/>
      <c r="H24" s="358" t="str">
        <f>IF(AND(E24="",G24=""),"",SUM(F24:$G$35))</f>
        <v/>
      </c>
      <c r="I24" s="307" t="str">
        <f>IF(OR(L24="",M24=""),"",IF(L24="3",VLOOKUP(N24,'K% (Rede Convencional)'!$B$18:$H$29,5),(IF(L24="2",VLOOKUP(O24,'K% (Rede Convencional)'!$B$18:$H$29,6),(IF(L24="1",VLOOKUP(O24,'K% (Rede Convencional)'!$B$18:$H$29,7)))))))</f>
        <v/>
      </c>
      <c r="J24" s="307" t="str">
        <f>IF(OR(L24="",M24=""),"",IF(L24="3",VLOOKUP(N24,'K% (Rede Convencional)'!$B$18:$E$29,2),(IF(L24="2",VLOOKUP(O24,'K% (Rede Convencional)'!$B$18:$E$29,3),(IF(L24="1",VLOOKUP(O24,'K% (Rede Convencional)'!$B$18:$E$29,4)))))))</f>
        <v/>
      </c>
      <c r="K24" s="307" t="str">
        <f t="shared" si="4"/>
        <v/>
      </c>
      <c r="L24" s="59"/>
      <c r="M24" s="59"/>
      <c r="N24" s="91">
        <f t="shared" ref="N24:N76" si="10">IF(M24="4","a",IF(M24="2","b",IF(M24="1/0","d",IF(M24="4/0","f",IF(M24="336,4","i",)))))</f>
        <v>0</v>
      </c>
      <c r="O24" s="92" t="str">
        <f>IF(M24="","",IF(M24="4 (4)","a",IF(OR(M24="2 (4)",M24="2 (2)"),VLOOKUP(M24,mT!$AF$21:$AG$22,2,FALSE),IF(OR(M24="1/0 (4)",M24="1/0 (2)"),VLOOKUP(M24,mT!$AF$24:$AG$25,2,FALSE),IF(OR(M24="4/0 (4)",M24="4/0 (2)",M24="4/0 (1/0)"),VLOOKUP(M24,mT!$AF$27:$AG$29,2,FALSE),IF(OR(M24="336,4 (4)",M24="336,4 (2)",M24="336,4 (1/0)",M24="336,4 (4/0)"),VLOOKUP(M24,mT!$AF$31:$AG$34,2,FALSE),""))))))</f>
        <v/>
      </c>
      <c r="P24" s="63"/>
      <c r="Q24" s="309" t="str">
        <f t="shared" si="5"/>
        <v/>
      </c>
      <c r="R24" s="309" t="str">
        <f>IF(Q24="","",SUM($Q$20:Q24))</f>
        <v/>
      </c>
      <c r="S24" s="309" t="str">
        <f t="shared" si="9"/>
        <v/>
      </c>
      <c r="T24" s="310" t="str">
        <f>IF(OR(N24="a",O24="a"),VLOOKUP("a",'Características dos Cabos'!$D$25:$L$29,9),IF(OR(N24="b",N24="c",O24="b",O24="c"),VLOOKUP("b",'Características dos Cabos'!$D$25:$L$29,9),IF(OR(N24="d",N24="e",O24="d",O24="e"),VLOOKUP("c",'Características dos Cabos'!$D$25:$L$29,9),IF(OR(N24="f",N24="g",N24="h",O24="f",O24="g",O24="h"),VLOOKUP("d",'Características dos Cabos'!$D$25:$L$29,9),IF(OR(N24="i",N24="j",N24="l",N24="m",O24="i",O25="j",O25="l",O25="m"),VLOOKUP("e",'Características dos Cabos'!$D$25:$L$29,9),"")))))</f>
        <v/>
      </c>
      <c r="U24" s="310" t="str">
        <f>IF(OR(N24="a",O24="a"),VLOOKUP("a",'Características dos Cabos'!$D$14:$K$18,8),IF(OR(N24="b",N24="c",O24="b",O24="c"),VLOOKUP("b",'Características dos Cabos'!$D$14:$K$18,8),IF(OR(N24="d",N24="e",O24="d",O24="e"),VLOOKUP("c",'Características dos Cabos'!$D$14:$K$18,8),IF(OR(N24="f",N24="g",N24="h",O24="f",O24="g",O24="h"),VLOOKUP("d",'Características dos Cabos'!$D$14:$K$18,8),IF(OR(N24="i",N24="j",N24="l",N24="m",O24="i",O25="j",O25="l",O25="m"),VLOOKUP("e",'Características dos Cabos'!$D$14:$K$18,8),"")))))</f>
        <v/>
      </c>
      <c r="V24" s="310" t="str">
        <f t="shared" si="6"/>
        <v/>
      </c>
      <c r="W24" s="309" t="str">
        <f t="shared" si="7"/>
        <v/>
      </c>
      <c r="X24" s="359" t="str">
        <f>IF(OR(N24="a",O24="a"),VLOOKUP("a",'Características dos Cabos'!$D$25:$L$29,3),IF(OR(N24="b",N24="c",O24="b",O24="c"),VLOOKUP("b",'Características dos Cabos'!$D$25:$L$29,3),IF(OR(N24="d",N24="e",O24="d",O24="e"),VLOOKUP("c",'Características dos Cabos'!$D$25:$L$29,3),IF(OR(N24="f",N24="g",N24="h",O24="f",O24="g",O24="h"),VLOOKUP("d",'Características dos Cabos'!$D$25:$L$29,3),IF(OR(N24="i",N24="j",N24="l",N24="m",O24="i",O24="j",O24="l",O24="m"),VLOOKUP("e",'Características dos Cabos'!$D$25:$L$29,3),"")))))</f>
        <v/>
      </c>
      <c r="Y24" s="359" t="str">
        <f>IF(OR(N24="a",O24="a"),VLOOKUP("a",'Características dos Cabos'!$D$14:$K$18,4),IF(OR(N24="b",N24="c",O24="b",O24="c"),VLOOKUP("b",'Características dos Cabos'!$D$14:$K$18,4),IF(OR(N24="d",N24="e",O24="d",O24="e"),VLOOKUP("c",'Características dos Cabos'!$D$14:$K$18,4),IF(OR(N24="f",N24="g",N24="h",O24="f",O24="g",O24="h"),VLOOKUP("d",'Características dos Cabos'!$D$14:$K$18,4),IF(OR(N24="i",N24="j",N24="l",N24="m",O24="i",O24="j",O24="l",O24="m"),VLOOKUP("e",'Características dos Cabos'!$D$14:$K$18,4),"")))))</f>
        <v/>
      </c>
      <c r="Z24" s="310" t="str">
        <f t="shared" si="8"/>
        <v/>
      </c>
      <c r="AA24" s="311" t="str">
        <f t="shared" si="0"/>
        <v/>
      </c>
      <c r="AB24" s="354"/>
      <c r="AC24" s="357">
        <f t="shared" si="1"/>
        <v>0</v>
      </c>
      <c r="AD24" s="357">
        <f t="shared" si="2"/>
        <v>0</v>
      </c>
      <c r="AE24" s="354">
        <f>SUM($P$21:P24)</f>
        <v>0</v>
      </c>
      <c r="AF24" s="301" t="s">
        <v>65</v>
      </c>
      <c r="AG24" s="302" t="s">
        <v>85</v>
      </c>
      <c r="AH24" s="312"/>
      <c r="AI24" s="302"/>
    </row>
    <row r="25" spans="1:35" ht="12" customHeight="1" thickTop="1" thickBot="1" x14ac:dyDescent="0.3">
      <c r="A25" s="106"/>
      <c r="B25" s="642"/>
      <c r="C25" s="72"/>
      <c r="D25" s="73"/>
      <c r="E25" s="74"/>
      <c r="F25" s="45" t="str">
        <f t="shared" si="3"/>
        <v/>
      </c>
      <c r="G25" s="63"/>
      <c r="H25" s="358" t="str">
        <f>IF(AND(E25="",G25=""),"",SUM(F25:$G$35))</f>
        <v/>
      </c>
      <c r="I25" s="307" t="str">
        <f>IF(OR(L25="",M25=""),"",IF(L25="3",VLOOKUP(N25,'K% (Rede Convencional)'!$B$18:$H$29,5),(IF(L25="2",VLOOKUP(O25,'K% (Rede Convencional)'!$B$18:$H$29,6),(IF(L25="1",VLOOKUP(O25,'K% (Rede Convencional)'!$B$18:$H$29,7)))))))</f>
        <v/>
      </c>
      <c r="J25" s="307" t="str">
        <f>IF(OR(L25="",M25=""),"",IF(L25="3",VLOOKUP(N25,'K% (Rede Convencional)'!$B$18:$E$29,2),(IF(L25="2",VLOOKUP(O25,'K% (Rede Convencional)'!$B$18:$E$29,3),(IF(L25="1",VLOOKUP(O25,'K% (Rede Convencional)'!$B$18:$E$29,4)))))))</f>
        <v/>
      </c>
      <c r="K25" s="307" t="str">
        <f t="shared" si="4"/>
        <v/>
      </c>
      <c r="L25" s="59"/>
      <c r="M25" s="59"/>
      <c r="N25" s="91">
        <f t="shared" si="10"/>
        <v>0</v>
      </c>
      <c r="O25" s="92" t="str">
        <f>IF(M25="","",IF(M25="4 (4)","a",IF(OR(M25="2 (4)",M25="2 (2)"),VLOOKUP(M25,mT!$AF$21:$AG$22,2,FALSE),IF(OR(M25="1/0 (4)",M25="1/0 (2)"),VLOOKUP(M25,mT!$AF$24:$AG$25,2,FALSE),IF(OR(M25="4/0 (4)",M25="4/0 (2)",M25="4/0 (1/0)"),VLOOKUP(M25,mT!$AF$27:$AG$29,2,FALSE),IF(OR(M25="336,4 (4)",M25="336,4 (2)",M25="336,4 (1/0)",M25="336,4 (4/0)"),VLOOKUP(M25,mT!$AF$31:$AG$34,2,FALSE),""))))))</f>
        <v/>
      </c>
      <c r="P25" s="63"/>
      <c r="Q25" s="309" t="str">
        <f t="shared" si="5"/>
        <v/>
      </c>
      <c r="R25" s="309" t="str">
        <f>IF(Q25="","",SUM($Q$20:Q25))</f>
        <v/>
      </c>
      <c r="S25" s="309" t="str">
        <f t="shared" si="9"/>
        <v/>
      </c>
      <c r="T25" s="310" t="str">
        <f>IF(OR(N25="a",O25="a"),VLOOKUP("a",'Características dos Cabos'!$D$25:$L$29,9),IF(OR(N25="b",N25="c",O25="b",O25="c"),VLOOKUP("b",'Características dos Cabos'!$D$25:$L$29,9),IF(OR(N25="d",N25="e",O25="d",O25="e"),VLOOKUP("c",'Características dos Cabos'!$D$25:$L$29,9),IF(OR(N25="f",N25="g",N25="h",O25="f",O25="g",O25="h"),VLOOKUP("d",'Características dos Cabos'!$D$25:$L$29,9),IF(OR(N25="i",N25="j",N25="l",N25="m",O25="i",O26="j",O26="l",O26="m"),VLOOKUP("e",'Características dos Cabos'!$D$25:$L$29,9),"")))))</f>
        <v/>
      </c>
      <c r="U25" s="310" t="str">
        <f>IF(OR(N25="a",O25="a"),VLOOKUP("a",'Características dos Cabos'!$D$14:$K$18,8),IF(OR(N25="b",N25="c",O25="b",O25="c"),VLOOKUP("b",'Características dos Cabos'!$D$14:$K$18,8),IF(OR(N25="d",N25="e",O25="d",O25="e"),VLOOKUP("c",'Características dos Cabos'!$D$14:$K$18,8),IF(OR(N25="f",N25="g",N25="h",O25="f",O25="g",O25="h"),VLOOKUP("d",'Características dos Cabos'!$D$14:$K$18,8),IF(OR(N25="i",N25="j",N25="l",N25="m",O25="i",O26="j",O26="l",O26="m"),VLOOKUP("e",'Características dos Cabos'!$D$14:$K$18,8),"")))))</f>
        <v/>
      </c>
      <c r="V25" s="310" t="str">
        <f t="shared" si="6"/>
        <v/>
      </c>
      <c r="W25" s="309" t="str">
        <f t="shared" si="7"/>
        <v/>
      </c>
      <c r="X25" s="359" t="str">
        <f>IF(OR(N25="a",O25="a"),VLOOKUP("a",'Características dos Cabos'!$D$25:$L$29,3),IF(OR(N25="b",N25="c",O25="b",O25="c"),VLOOKUP("b",'Características dos Cabos'!$D$25:$L$29,3),IF(OR(N25="d",N25="e",O25="d",O25="e"),VLOOKUP("c",'Características dos Cabos'!$D$25:$L$29,3),IF(OR(N25="f",N25="g",N25="h",O25="f",O25="g",O25="h"),VLOOKUP("d",'Características dos Cabos'!$D$25:$L$29,3),IF(OR(N25="i",N25="j",N25="l",N25="m",O25="i",O25="j",O25="l",O25="m"),VLOOKUP("e",'Características dos Cabos'!$D$25:$L$29,3),"")))))</f>
        <v/>
      </c>
      <c r="Y25" s="359" t="str">
        <f>IF(OR(N25="a",O25="a"),VLOOKUP("a",'Características dos Cabos'!$D$14:$K$18,4),IF(OR(N25="b",N25="c",O25="b",O25="c"),VLOOKUP("b",'Características dos Cabos'!$D$14:$K$18,4),IF(OR(N25="d",N25="e",O25="d",O25="e"),VLOOKUP("c",'Características dos Cabos'!$D$14:$K$18,4),IF(OR(N25="f",N25="g",N25="h",O25="f",O25="g",O25="h"),VLOOKUP("d",'Características dos Cabos'!$D$14:$K$18,4),IF(OR(N25="i",N25="j",N25="l",N25="m",O25="i",O25="j",O25="l",O25="m"),VLOOKUP("e",'Características dos Cabos'!$D$14:$K$18,4),"")))))</f>
        <v/>
      </c>
      <c r="Z25" s="310" t="str">
        <f t="shared" si="8"/>
        <v/>
      </c>
      <c r="AA25" s="311" t="str">
        <f t="shared" si="0"/>
        <v/>
      </c>
      <c r="AB25" s="354"/>
      <c r="AC25" s="357">
        <f t="shared" si="1"/>
        <v>0</v>
      </c>
      <c r="AD25" s="357">
        <f t="shared" si="2"/>
        <v>0</v>
      </c>
      <c r="AE25" s="354">
        <f>SUM($P$21:P25)</f>
        <v>0</v>
      </c>
      <c r="AF25" s="301" t="s">
        <v>66</v>
      </c>
      <c r="AG25" s="302" t="s">
        <v>86</v>
      </c>
      <c r="AH25" s="312"/>
      <c r="AI25" s="302"/>
    </row>
    <row r="26" spans="1:35" ht="12" customHeight="1" thickTop="1" thickBot="1" x14ac:dyDescent="0.3">
      <c r="A26" s="106"/>
      <c r="B26" s="642"/>
      <c r="C26" s="72"/>
      <c r="D26" s="73"/>
      <c r="E26" s="74"/>
      <c r="F26" s="45" t="str">
        <f t="shared" si="3"/>
        <v/>
      </c>
      <c r="G26" s="63"/>
      <c r="H26" s="358" t="str">
        <f>IF(AND(E26="",G26=""),"",SUM(F26:$G$35))</f>
        <v/>
      </c>
      <c r="I26" s="307" t="str">
        <f>IF(OR(L26="",M26=""),"",IF(L26="3",VLOOKUP(N26,'K% (Rede Convencional)'!$B$18:$H$29,5),(IF(L26="2",VLOOKUP(O26,'K% (Rede Convencional)'!$B$18:$H$29,6),(IF(L26="1",VLOOKUP(O26,'K% (Rede Convencional)'!$B$18:$H$29,7)))))))</f>
        <v/>
      </c>
      <c r="J26" s="307" t="str">
        <f>IF(OR(L26="",M26=""),"",IF(L26="3",VLOOKUP(N26,'K% (Rede Convencional)'!$B$18:$E$29,2),(IF(L26="2",VLOOKUP(O26,'K% (Rede Convencional)'!$B$18:$E$29,3),(IF(L26="1",VLOOKUP(O26,'K% (Rede Convencional)'!$B$18:$E$29,4)))))))</f>
        <v/>
      </c>
      <c r="K26" s="307" t="str">
        <f t="shared" si="4"/>
        <v/>
      </c>
      <c r="L26" s="59"/>
      <c r="M26" s="59"/>
      <c r="N26" s="91">
        <f t="shared" si="10"/>
        <v>0</v>
      </c>
      <c r="O26" s="92" t="str">
        <f>IF(M26="","",IF(M26="4 (4)","a",IF(OR(M26="2 (4)",M26="2 (2)"),VLOOKUP(M26,mT!$AF$21:$AG$22,2,FALSE),IF(OR(M26="1/0 (4)",M26="1/0 (2)"),VLOOKUP(M26,mT!$AF$24:$AG$25,2,FALSE),IF(OR(M26="4/0 (4)",M26="4/0 (2)",M26="4/0 (1/0)"),VLOOKUP(M26,mT!$AF$27:$AG$29,2,FALSE),IF(OR(M26="336,4 (4)",M26="336,4 (2)",M26="336,4 (1/0)",M26="336,4 (4/0)"),VLOOKUP(M26,mT!$AF$31:$AG$34,2,FALSE),""))))))</f>
        <v/>
      </c>
      <c r="P26" s="63"/>
      <c r="Q26" s="309" t="str">
        <f t="shared" si="5"/>
        <v/>
      </c>
      <c r="R26" s="309" t="str">
        <f>IF(Q26="","",SUM($Q$20:Q26))</f>
        <v/>
      </c>
      <c r="S26" s="309" t="str">
        <f t="shared" si="9"/>
        <v/>
      </c>
      <c r="T26" s="310" t="str">
        <f>IF(OR(N26="a",O26="a"),VLOOKUP("a",'Características dos Cabos'!$D$25:$L$29,9),IF(OR(N26="b",N26="c",O26="b",O26="c"),VLOOKUP("b",'Características dos Cabos'!$D$25:$L$29,9),IF(OR(N26="d",N26="e",O26="d",O26="e"),VLOOKUP("c",'Características dos Cabos'!$D$25:$L$29,9),IF(OR(N26="f",N26="g",N26="h",O26="f",O26="g",O26="h"),VLOOKUP("d",'Características dos Cabos'!$D$25:$L$29,9),IF(OR(N26="i",N26="j",N26="l",N26="m",O26="i",O27="j",O27="l",O27="m"),VLOOKUP("e",'Características dos Cabos'!$D$25:$L$29,9),"")))))</f>
        <v/>
      </c>
      <c r="U26" s="310" t="str">
        <f>IF(OR(N26="a",O26="a"),VLOOKUP("a",'Características dos Cabos'!$D$14:$K$18,8),IF(OR(N26="b",N26="c",O26="b",O26="c"),VLOOKUP("b",'Características dos Cabos'!$D$14:$K$18,8),IF(OR(N26="d",N26="e",O26="d",O26="e"),VLOOKUP("c",'Características dos Cabos'!$D$14:$K$18,8),IF(OR(N26="f",N26="g",N26="h",O26="f",O26="g",O26="h"),VLOOKUP("d",'Características dos Cabos'!$D$14:$K$18,8),IF(OR(N26="i",N26="j",N26="l",N26="m",O26="i",O27="j",O27="l",O27="m"),VLOOKUP("e",'Características dos Cabos'!$D$14:$K$18,8),"")))))</f>
        <v/>
      </c>
      <c r="V26" s="310" t="str">
        <f t="shared" si="6"/>
        <v/>
      </c>
      <c r="W26" s="309" t="str">
        <f t="shared" si="7"/>
        <v/>
      </c>
      <c r="X26" s="359" t="str">
        <f>IF(OR(N26="a",O26="a"),VLOOKUP("a",'Características dos Cabos'!$D$25:$L$29,3),IF(OR(N26="b",N26="c",O26="b",O26="c"),VLOOKUP("b",'Características dos Cabos'!$D$25:$L$29,3),IF(OR(N26="d",N26="e",O26="d",O26="e"),VLOOKUP("c",'Características dos Cabos'!$D$25:$L$29,3),IF(OR(N26="f",N26="g",N26="h",O26="f",O26="g",O26="h"),VLOOKUP("d",'Características dos Cabos'!$D$25:$L$29,3),IF(OR(N26="i",N26="j",N26="l",N26="m",O26="i",O26="j",O26="l",O26="m"),VLOOKUP("e",'Características dos Cabos'!$D$25:$L$29,3),"")))))</f>
        <v/>
      </c>
      <c r="Y26" s="359" t="str">
        <f>IF(OR(N26="a",O26="a"),VLOOKUP("a",'Características dos Cabos'!$D$14:$K$18,4),IF(OR(N26="b",N26="c",O26="b",O26="c"),VLOOKUP("b",'Características dos Cabos'!$D$14:$K$18,4),IF(OR(N26="d",N26="e",O26="d",O26="e"),VLOOKUP("c",'Características dos Cabos'!$D$14:$K$18,4),IF(OR(N26="f",N26="g",N26="h",O26="f",O26="g",O26="h"),VLOOKUP("d",'Características dos Cabos'!$D$14:$K$18,4),IF(OR(N26="i",N26="j",N26="l",N26="m",O26="i",O26="j",O26="l",O26="m"),VLOOKUP("e",'Características dos Cabos'!$D$14:$K$18,4),"")))))</f>
        <v/>
      </c>
      <c r="Z26" s="310" t="str">
        <f t="shared" si="8"/>
        <v/>
      </c>
      <c r="AA26" s="311" t="str">
        <f t="shared" si="0"/>
        <v/>
      </c>
      <c r="AB26" s="354"/>
      <c r="AC26" s="357">
        <f t="shared" si="1"/>
        <v>0</v>
      </c>
      <c r="AD26" s="357">
        <f t="shared" si="2"/>
        <v>0</v>
      </c>
      <c r="AE26" s="354">
        <f>SUM($P$21:P26)</f>
        <v>0</v>
      </c>
      <c r="AF26" s="301"/>
      <c r="AG26" s="302"/>
      <c r="AH26" s="312"/>
      <c r="AI26" s="302"/>
    </row>
    <row r="27" spans="1:35" ht="12" customHeight="1" thickTop="1" thickBot="1" x14ac:dyDescent="0.3">
      <c r="A27" s="106"/>
      <c r="B27" s="642"/>
      <c r="C27" s="72"/>
      <c r="D27" s="73"/>
      <c r="E27" s="74"/>
      <c r="F27" s="45" t="str">
        <f t="shared" si="3"/>
        <v/>
      </c>
      <c r="G27" s="63"/>
      <c r="H27" s="358" t="str">
        <f>IF(AND(E27="",G27=""),"",SUM(F27:$G$35))</f>
        <v/>
      </c>
      <c r="I27" s="307" t="str">
        <f>IF(OR(L27="",M27=""),"",IF(L27="3",VLOOKUP(N27,'K% (Rede Convencional)'!$B$18:$H$29,5),(IF(L27="2",VLOOKUP(O27,'K% (Rede Convencional)'!$B$18:$H$29,6),(IF(L27="1",VLOOKUP(O27,'K% (Rede Convencional)'!$B$18:$H$29,7)))))))</f>
        <v/>
      </c>
      <c r="J27" s="307" t="str">
        <f>IF(OR(L27="",M27=""),"",IF(L27="3",VLOOKUP(N27,'K% (Rede Convencional)'!$B$18:$E$29,2),(IF(L27="2",VLOOKUP(O27,'K% (Rede Convencional)'!$B$18:$E$29,3),(IF(L27="1",VLOOKUP(O27,'K% (Rede Convencional)'!$B$18:$E$29,4)))))))</f>
        <v/>
      </c>
      <c r="K27" s="307" t="str">
        <f t="shared" si="4"/>
        <v/>
      </c>
      <c r="L27" s="59"/>
      <c r="M27" s="59"/>
      <c r="N27" s="91">
        <f t="shared" si="10"/>
        <v>0</v>
      </c>
      <c r="O27" s="92" t="str">
        <f>IF(M27="","",IF(M27="4 (4)","a",IF(OR(M27="2 (4)",M27="2 (2)"),VLOOKUP(M27,mT!$AF$21:$AG$22,2,FALSE),IF(OR(M27="1/0 (4)",M27="1/0 (2)"),VLOOKUP(M27,mT!$AF$24:$AG$25,2,FALSE),IF(OR(M27="4/0 (4)",M27="4/0 (2)",M27="4/0 (1/0)"),VLOOKUP(M27,mT!$AF$27:$AG$29,2,FALSE),IF(OR(M27="336,4 (4)",M27="336,4 (2)",M27="336,4 (1/0)",M27="336,4 (4/0)"),VLOOKUP(M27,mT!$AF$31:$AG$34,2,FALSE),""))))))</f>
        <v/>
      </c>
      <c r="P27" s="63"/>
      <c r="Q27" s="309" t="str">
        <f t="shared" si="5"/>
        <v/>
      </c>
      <c r="R27" s="309" t="str">
        <f>IF(Q27="","",SUM($Q$20:Q27))</f>
        <v/>
      </c>
      <c r="S27" s="309" t="str">
        <f t="shared" si="9"/>
        <v/>
      </c>
      <c r="T27" s="310" t="str">
        <f>IF(OR(N27="a",O27="a"),VLOOKUP("a",'Características dos Cabos'!$D$25:$L$29,9),IF(OR(N27="b",N27="c",O27="b",O27="c"),VLOOKUP("b",'Características dos Cabos'!$D$25:$L$29,9),IF(OR(N27="d",N27="e",O27="d",O27="e"),VLOOKUP("c",'Características dos Cabos'!$D$25:$L$29,9),IF(OR(N27="f",N27="g",N27="h",O27="f",O27="g",O27="h"),VLOOKUP("d",'Características dos Cabos'!$D$25:$L$29,9),IF(OR(N27="i",N27="j",N27="l",N27="m",O27="i",O28="j",O28="l",O28="m"),VLOOKUP("e",'Características dos Cabos'!$D$25:$L$29,9),"")))))</f>
        <v/>
      </c>
      <c r="U27" s="310" t="str">
        <f>IF(OR(N27="a",O27="a"),VLOOKUP("a",'Características dos Cabos'!$D$14:$K$18,8),IF(OR(N27="b",N27="c",O27="b",O27="c"),VLOOKUP("b",'Características dos Cabos'!$D$14:$K$18,8),IF(OR(N27="d",N27="e",O27="d",O27="e"),VLOOKUP("c",'Características dos Cabos'!$D$14:$K$18,8),IF(OR(N27="f",N27="g",N27="h",O27="f",O27="g",O27="h"),VLOOKUP("d",'Características dos Cabos'!$D$14:$K$18,8),IF(OR(N27="i",N27="j",N27="l",N27="m",O27="i",O28="j",O28="l",O28="m"),VLOOKUP("e",'Características dos Cabos'!$D$14:$K$18,8),"")))))</f>
        <v/>
      </c>
      <c r="V27" s="310" t="str">
        <f t="shared" si="6"/>
        <v/>
      </c>
      <c r="W27" s="309" t="str">
        <f t="shared" si="7"/>
        <v/>
      </c>
      <c r="X27" s="359" t="str">
        <f>IF(OR(N27="a",O27="a"),VLOOKUP("a",'Características dos Cabos'!$D$25:$L$29,3),IF(OR(N27="b",N27="c",O27="b",O27="c"),VLOOKUP("b",'Características dos Cabos'!$D$25:$L$29,3),IF(OR(N27="d",N27="e",O27="d",O27="e"),VLOOKUP("c",'Características dos Cabos'!$D$25:$L$29,3),IF(OR(N27="f",N27="g",N27="h",O27="f",O27="g",O27="h"),VLOOKUP("d",'Características dos Cabos'!$D$25:$L$29,3),IF(OR(N27="i",N27="j",N27="l",N27="m",O27="i",O27="j",O27="l",O27="m"),VLOOKUP("e",'Características dos Cabos'!$D$25:$L$29,3),"")))))</f>
        <v/>
      </c>
      <c r="Y27" s="359" t="str">
        <f>IF(OR(N27="a",O27="a"),VLOOKUP("a",'Características dos Cabos'!$D$14:$K$18,4),IF(OR(N27="b",N27="c",O27="b",O27="c"),VLOOKUP("b",'Características dos Cabos'!$D$14:$K$18,4),IF(OR(N27="d",N27="e",O27="d",O27="e"),VLOOKUP("c",'Características dos Cabos'!$D$14:$K$18,4),IF(OR(N27="f",N27="g",N27="h",O27="f",O27="g",O27="h"),VLOOKUP("d",'Características dos Cabos'!$D$14:$K$18,4),IF(OR(N27="i",N27="j",N27="l",N27="m",O27="i",O27="j",O27="l",O27="m"),VLOOKUP("e",'Características dos Cabos'!$D$14:$K$18,4),"")))))</f>
        <v/>
      </c>
      <c r="Z27" s="310" t="str">
        <f t="shared" si="8"/>
        <v/>
      </c>
      <c r="AA27" s="311" t="str">
        <f t="shared" si="0"/>
        <v/>
      </c>
      <c r="AB27" s="354"/>
      <c r="AC27" s="357">
        <f t="shared" si="1"/>
        <v>0</v>
      </c>
      <c r="AD27" s="357">
        <f t="shared" si="2"/>
        <v>0</v>
      </c>
      <c r="AE27" s="354">
        <f>SUM($P$21:P27)</f>
        <v>0</v>
      </c>
      <c r="AF27" s="301" t="s">
        <v>67</v>
      </c>
      <c r="AG27" s="302" t="s">
        <v>87</v>
      </c>
      <c r="AH27" s="312"/>
      <c r="AI27" s="302"/>
    </row>
    <row r="28" spans="1:35" ht="12" customHeight="1" thickTop="1" thickBot="1" x14ac:dyDescent="0.3">
      <c r="A28" s="106"/>
      <c r="B28" s="642"/>
      <c r="C28" s="72"/>
      <c r="D28" s="73"/>
      <c r="E28" s="74"/>
      <c r="F28" s="45" t="str">
        <f t="shared" si="3"/>
        <v/>
      </c>
      <c r="G28" s="63"/>
      <c r="H28" s="358" t="str">
        <f>IF(AND(E28="",G28=""),"",SUM(F28:$G$35))</f>
        <v/>
      </c>
      <c r="I28" s="307" t="str">
        <f>IF(OR(L28="",M28=""),"",IF(L28="3",VLOOKUP(N28,'K% (Rede Convencional)'!$B$18:$H$29,5),(IF(L28="2",VLOOKUP(O28,'K% (Rede Convencional)'!$B$18:$H$29,6),(IF(L28="1",VLOOKUP(O28,'K% (Rede Convencional)'!$B$18:$H$29,7)))))))</f>
        <v/>
      </c>
      <c r="J28" s="307" t="str">
        <f>IF(OR(L28="",M28=""),"",IF(L28="3",VLOOKUP(N28,'K% (Rede Convencional)'!$B$18:$E$29,2),(IF(L28="2",VLOOKUP(O28,'K% (Rede Convencional)'!$B$18:$E$29,3),(IF(L28="1",VLOOKUP(O28,'K% (Rede Convencional)'!$B$18:$E$29,4)))))))</f>
        <v/>
      </c>
      <c r="K28" s="307" t="str">
        <f t="shared" si="4"/>
        <v/>
      </c>
      <c r="L28" s="59"/>
      <c r="M28" s="59"/>
      <c r="N28" s="91">
        <f t="shared" si="10"/>
        <v>0</v>
      </c>
      <c r="O28" s="92" t="str">
        <f>IF(M28="","",IF(M28="4 (4)","a",IF(OR(M28="2 (4)",M28="2 (2)"),VLOOKUP(M28,mT!$AF$21:$AG$22,2,FALSE),IF(OR(M28="1/0 (4)",M28="1/0 (2)"),VLOOKUP(M28,mT!$AF$24:$AG$25,2,FALSE),IF(OR(M28="4/0 (4)",M28="4/0 (2)",M28="4/0 (1/0)"),VLOOKUP(M28,mT!$AF$27:$AG$29,2,FALSE),IF(OR(M28="336,4 (4)",M28="336,4 (2)",M28="336,4 (1/0)",M28="336,4 (4/0)"),VLOOKUP(M28,mT!$AF$31:$AG$34,2,FALSE),""))))))</f>
        <v/>
      </c>
      <c r="P28" s="63"/>
      <c r="Q28" s="309" t="str">
        <f t="shared" si="5"/>
        <v/>
      </c>
      <c r="R28" s="309" t="str">
        <f>IF(Q28="","",SUM($Q$20:Q28))</f>
        <v/>
      </c>
      <c r="S28" s="309" t="str">
        <f t="shared" si="9"/>
        <v/>
      </c>
      <c r="T28" s="310" t="str">
        <f>IF(OR(N28="a",O28="a"),VLOOKUP("a",'Características dos Cabos'!$D$25:$L$29,9),IF(OR(N28="b",N28="c",O28="b",O28="c"),VLOOKUP("b",'Características dos Cabos'!$D$25:$L$29,9),IF(OR(N28="d",N28="e",O28="d",O28="e"),VLOOKUP("c",'Características dos Cabos'!$D$25:$L$29,9),IF(OR(N28="f",N28="g",N28="h",O28="f",O28="g",O28="h"),VLOOKUP("d",'Características dos Cabos'!$D$25:$L$29,9),IF(OR(N28="i",N28="j",N28="l",N28="m",O28="i",O29="j",O29="l",O29="m"),VLOOKUP("e",'Características dos Cabos'!$D$25:$L$29,9),"")))))</f>
        <v/>
      </c>
      <c r="U28" s="310" t="str">
        <f>IF(OR(N28="a",O28="a"),VLOOKUP("a",'Características dos Cabos'!$D$14:$K$18,8),IF(OR(N28="b",N28="c",O28="b",O28="c"),VLOOKUP("b",'Características dos Cabos'!$D$14:$K$18,8),IF(OR(N28="d",N28="e",O28="d",O28="e"),VLOOKUP("c",'Características dos Cabos'!$D$14:$K$18,8),IF(OR(N28="f",N28="g",N28="h",O28="f",O28="g",O28="h"),VLOOKUP("d",'Características dos Cabos'!$D$14:$K$18,8),IF(OR(N28="i",N28="j",N28="l",N28="m",O28="i",O29="j",O29="l",O29="m"),VLOOKUP("e",'Características dos Cabos'!$D$14:$K$18,8),"")))))</f>
        <v/>
      </c>
      <c r="V28" s="310" t="str">
        <f t="shared" si="6"/>
        <v/>
      </c>
      <c r="W28" s="309" t="str">
        <f t="shared" si="7"/>
        <v/>
      </c>
      <c r="X28" s="359" t="str">
        <f>IF(OR(N28="a",O28="a"),VLOOKUP("a",'Características dos Cabos'!$D$25:$L$29,3),IF(OR(N28="b",N28="c",O28="b",O28="c"),VLOOKUP("b",'Características dos Cabos'!$D$25:$L$29,3),IF(OR(N28="d",N28="e",O28="d",O28="e"),VLOOKUP("c",'Características dos Cabos'!$D$25:$L$29,3),IF(OR(N28="f",N28="g",N28="h",O28="f",O28="g",O28="h"),VLOOKUP("d",'Características dos Cabos'!$D$25:$L$29,3),IF(OR(N28="i",N28="j",N28="l",N28="m",O28="i",O28="j",O28="l",O28="m"),VLOOKUP("e",'Características dos Cabos'!$D$25:$L$29,3),"")))))</f>
        <v/>
      </c>
      <c r="Y28" s="359" t="str">
        <f>IF(OR(N28="a",O28="a"),VLOOKUP("a",'Características dos Cabos'!$D$14:$K$18,4),IF(OR(N28="b",N28="c",O28="b",O28="c"),VLOOKUP("b",'Características dos Cabos'!$D$14:$K$18,4),IF(OR(N28="d",N28="e",O28="d",O28="e"),VLOOKUP("c",'Características dos Cabos'!$D$14:$K$18,4),IF(OR(N28="f",N28="g",N28="h",O28="f",O28="g",O28="h"),VLOOKUP("d",'Características dos Cabos'!$D$14:$K$18,4),IF(OR(N28="i",N28="j",N28="l",N28="m",O28="i",O28="j",O28="l",O28="m"),VLOOKUP("e",'Características dos Cabos'!$D$14:$K$18,4),"")))))</f>
        <v/>
      </c>
      <c r="Z28" s="310" t="str">
        <f t="shared" si="8"/>
        <v/>
      </c>
      <c r="AA28" s="311" t="str">
        <f t="shared" si="0"/>
        <v/>
      </c>
      <c r="AB28" s="354"/>
      <c r="AC28" s="357">
        <f t="shared" si="1"/>
        <v>0</v>
      </c>
      <c r="AD28" s="357">
        <f t="shared" si="2"/>
        <v>0</v>
      </c>
      <c r="AE28" s="354">
        <f>SUM($P$21:P28)</f>
        <v>0</v>
      </c>
      <c r="AF28" s="301" t="s">
        <v>68</v>
      </c>
      <c r="AG28" s="302" t="s">
        <v>88</v>
      </c>
      <c r="AH28" s="312"/>
      <c r="AI28" s="302"/>
    </row>
    <row r="29" spans="1:35" ht="12" customHeight="1" thickTop="1" thickBot="1" x14ac:dyDescent="0.3">
      <c r="A29" s="106"/>
      <c r="B29" s="642"/>
      <c r="C29" s="72"/>
      <c r="D29" s="73"/>
      <c r="E29" s="74"/>
      <c r="F29" s="45" t="str">
        <f t="shared" si="3"/>
        <v/>
      </c>
      <c r="G29" s="63"/>
      <c r="H29" s="358" t="str">
        <f>IF(AND(E29="",G29=""),"",SUM(F29:$G$35))</f>
        <v/>
      </c>
      <c r="I29" s="307" t="str">
        <f>IF(OR(L29="",M29=""),"",IF(L29="3",VLOOKUP(N29,'K% (Rede Convencional)'!$B$18:$H$29,5),(IF(L29="2",VLOOKUP(O29,'K% (Rede Convencional)'!$B$18:$H$29,6),(IF(L29="1",VLOOKUP(O29,'K% (Rede Convencional)'!$B$18:$H$29,7)))))))</f>
        <v/>
      </c>
      <c r="J29" s="307" t="str">
        <f>IF(OR(L29="",M29=""),"",IF(L29="3",VLOOKUP(N29,'K% (Rede Convencional)'!$B$18:$E$29,2),(IF(L29="2",VLOOKUP(O29,'K% (Rede Convencional)'!$B$18:$E$29,3),(IF(L29="1",VLOOKUP(O29,'K% (Rede Convencional)'!$B$18:$E$29,4)))))))</f>
        <v/>
      </c>
      <c r="K29" s="307" t="str">
        <f t="shared" si="4"/>
        <v/>
      </c>
      <c r="L29" s="59"/>
      <c r="M29" s="59"/>
      <c r="N29" s="91">
        <f t="shared" si="10"/>
        <v>0</v>
      </c>
      <c r="O29" s="92" t="str">
        <f>IF(M29="","",IF(M29="4 (4)","a",IF(OR(M29="2 (4)",M29="2 (2)"),VLOOKUP(M29,mT!$AF$21:$AG$22,2,FALSE),IF(OR(M29="1/0 (4)",M29="1/0 (2)"),VLOOKUP(M29,mT!$AF$24:$AG$25,2,FALSE),IF(OR(M29="4/0 (4)",M29="4/0 (2)",M29="4/0 (1/0)"),VLOOKUP(M29,mT!$AF$27:$AG$29,2,FALSE),IF(OR(M29="336,4 (4)",M29="336,4 (2)",M29="336,4 (1/0)",M29="336,4 (4/0)"),VLOOKUP(M29,mT!$AF$31:$AG$34,2,FALSE),""))))))</f>
        <v/>
      </c>
      <c r="P29" s="63"/>
      <c r="Q29" s="309" t="str">
        <f t="shared" si="5"/>
        <v/>
      </c>
      <c r="R29" s="309" t="str">
        <f>IF(Q29="","",SUM($Q$20:Q29))</f>
        <v/>
      </c>
      <c r="S29" s="309" t="str">
        <f t="shared" si="9"/>
        <v/>
      </c>
      <c r="T29" s="310" t="str">
        <f>IF(OR(N29="a",O29="a"),VLOOKUP("a",'Características dos Cabos'!$D$25:$L$29,9),IF(OR(N29="b",N29="c",O29="b",O29="c"),VLOOKUP("b",'Características dos Cabos'!$D$25:$L$29,9),IF(OR(N29="d",N29="e",O29="d",O29="e"),VLOOKUP("c",'Características dos Cabos'!$D$25:$L$29,9),IF(OR(N29="f",N29="g",N29="h",O29="f",O29="g",O29="h"),VLOOKUP("d",'Características dos Cabos'!$D$25:$L$29,9),IF(OR(N29="i",N29="j",N29="l",N29="m",O29="i",O30="j",O30="l",O30="m"),VLOOKUP("e",'Características dos Cabos'!$D$25:$L$29,9),"")))))</f>
        <v/>
      </c>
      <c r="U29" s="310" t="str">
        <f>IF(OR(N29="a",O29="a"),VLOOKUP("a",'Características dos Cabos'!$D$14:$K$18,8),IF(OR(N29="b",N29="c",O29="b",O29="c"),VLOOKUP("b",'Características dos Cabos'!$D$14:$K$18,8),IF(OR(N29="d",N29="e",O29="d",O29="e"),VLOOKUP("c",'Características dos Cabos'!$D$14:$K$18,8),IF(OR(N29="f",N29="g",N29="h",O29="f",O29="g",O29="h"),VLOOKUP("d",'Características dos Cabos'!$D$14:$K$18,8),IF(OR(N29="i",N29="j",N29="l",N29="m",O29="i",O30="j",O30="l",O30="m"),VLOOKUP("e",'Características dos Cabos'!$D$14:$K$18,8),"")))))</f>
        <v/>
      </c>
      <c r="V29" s="310" t="str">
        <f t="shared" si="6"/>
        <v/>
      </c>
      <c r="W29" s="309" t="str">
        <f t="shared" si="7"/>
        <v/>
      </c>
      <c r="X29" s="359" t="str">
        <f>IF(OR(N29="a",O29="a"),VLOOKUP("a",'Características dos Cabos'!$D$25:$L$29,3),IF(OR(N29="b",N29="c",O29="b",O29="c"),VLOOKUP("b",'Características dos Cabos'!$D$25:$L$29,3),IF(OR(N29="d",N29="e",O29="d",O29="e"),VLOOKUP("c",'Características dos Cabos'!$D$25:$L$29,3),IF(OR(N29="f",N29="g",N29="h",O29="f",O29="g",O29="h"),VLOOKUP("d",'Características dos Cabos'!$D$25:$L$29,3),IF(OR(N29="i",N29="j",N29="l",N29="m",O29="i",O29="j",O29="l",O29="m"),VLOOKUP("e",'Características dos Cabos'!$D$25:$L$29,3),"")))))</f>
        <v/>
      </c>
      <c r="Y29" s="359" t="str">
        <f>IF(OR(N29="a",O29="a"),VLOOKUP("a",'Características dos Cabos'!$D$14:$K$18,4),IF(OR(N29="b",N29="c",O29="b",O29="c"),VLOOKUP("b",'Características dos Cabos'!$D$14:$K$18,4),IF(OR(N29="d",N29="e",O29="d",O29="e"),VLOOKUP("c",'Características dos Cabos'!$D$14:$K$18,4),IF(OR(N29="f",N29="g",N29="h",O29="f",O29="g",O29="h"),VLOOKUP("d",'Características dos Cabos'!$D$14:$K$18,4),IF(OR(N29="i",N29="j",N29="l",N29="m",O29="i",O29="j",O29="l",O29="m"),VLOOKUP("e",'Características dos Cabos'!$D$14:$K$18,4),"")))))</f>
        <v/>
      </c>
      <c r="Z29" s="310" t="str">
        <f t="shared" si="8"/>
        <v/>
      </c>
      <c r="AA29" s="311" t="str">
        <f t="shared" si="0"/>
        <v/>
      </c>
      <c r="AB29" s="354"/>
      <c r="AC29" s="357">
        <f t="shared" si="1"/>
        <v>0</v>
      </c>
      <c r="AD29" s="357">
        <f t="shared" si="2"/>
        <v>0</v>
      </c>
      <c r="AE29" s="354">
        <f>SUM($P$21:P29)</f>
        <v>0</v>
      </c>
      <c r="AF29" s="301" t="s">
        <v>69</v>
      </c>
      <c r="AG29" s="302" t="s">
        <v>90</v>
      </c>
      <c r="AH29" s="312"/>
      <c r="AI29" s="302"/>
    </row>
    <row r="30" spans="1:35" ht="12" customHeight="1" thickTop="1" thickBot="1" x14ac:dyDescent="0.3">
      <c r="A30" s="106"/>
      <c r="B30" s="642"/>
      <c r="C30" s="72"/>
      <c r="D30" s="73"/>
      <c r="E30" s="74"/>
      <c r="F30" s="45" t="str">
        <f t="shared" si="3"/>
        <v/>
      </c>
      <c r="G30" s="63"/>
      <c r="H30" s="358" t="str">
        <f>IF(AND(E30="",G30=""),"",SUM(F30:$G$35))</f>
        <v/>
      </c>
      <c r="I30" s="307" t="str">
        <f>IF(OR(L30="",M30=""),"",IF(L30="3",VLOOKUP(N30,'K% (Rede Convencional)'!$B$18:$H$29,5),(IF(L30="2",VLOOKUP(O30,'K% (Rede Convencional)'!$B$18:$H$29,6),(IF(L30="1",VLOOKUP(O30,'K% (Rede Convencional)'!$B$18:$H$29,7)))))))</f>
        <v/>
      </c>
      <c r="J30" s="307" t="str">
        <f>IF(OR(L30="",M30=""),"",IF(L30="3",VLOOKUP(N30,'K% (Rede Convencional)'!$B$18:$E$29,2),(IF(L30="2",VLOOKUP(O30,'K% (Rede Convencional)'!$B$18:$E$29,3),(IF(L30="1",VLOOKUP(O30,'K% (Rede Convencional)'!$B$18:$E$29,4)))))))</f>
        <v/>
      </c>
      <c r="K30" s="307" t="str">
        <f t="shared" si="4"/>
        <v/>
      </c>
      <c r="L30" s="59"/>
      <c r="M30" s="59"/>
      <c r="N30" s="91">
        <f t="shared" si="10"/>
        <v>0</v>
      </c>
      <c r="O30" s="92" t="str">
        <f>IF(M30="","",IF(M30="4 (4)","a",IF(OR(M30="2 (4)",M30="2 (2)"),VLOOKUP(M30,mT!$AF$21:$AG$22,2,FALSE),IF(OR(M30="1/0 (4)",M30="1/0 (2)"),VLOOKUP(M30,mT!$AF$24:$AG$25,2,FALSE),IF(OR(M30="4/0 (4)",M30="4/0 (2)",M30="4/0 (1/0)"),VLOOKUP(M30,mT!$AF$27:$AG$29,2,FALSE),IF(OR(M30="336,4 (4)",M30="336,4 (2)",M30="336,4 (1/0)",M30="336,4 (4/0)"),VLOOKUP(M30,mT!$AF$31:$AG$34,2,FALSE),""))))))</f>
        <v/>
      </c>
      <c r="P30" s="63"/>
      <c r="Q30" s="309" t="str">
        <f t="shared" si="5"/>
        <v/>
      </c>
      <c r="R30" s="309" t="str">
        <f>IF(Q30="","",SUM($Q$20:Q30))</f>
        <v/>
      </c>
      <c r="S30" s="309" t="str">
        <f t="shared" si="9"/>
        <v/>
      </c>
      <c r="T30" s="310" t="str">
        <f>IF(OR(N30="a",O30="a"),VLOOKUP("a",'Características dos Cabos'!$D$25:$L$29,9),IF(OR(N30="b",N30="c",O30="b",O30="c"),VLOOKUP("b",'Características dos Cabos'!$D$25:$L$29,9),IF(OR(N30="d",N30="e",O30="d",O30="e"),VLOOKUP("c",'Características dos Cabos'!$D$25:$L$29,9),IF(OR(N30="f",N30="g",N30="h",O30="f",O30="g",O30="h"),VLOOKUP("d",'Características dos Cabos'!$D$25:$L$29,9),IF(OR(N30="i",N30="j",N30="l",N30="m",O30="i",O31="j",O31="l",O31="m"),VLOOKUP("e",'Características dos Cabos'!$D$25:$L$29,9),"")))))</f>
        <v/>
      </c>
      <c r="U30" s="310" t="str">
        <f>IF(OR(N30="a",O30="a"),VLOOKUP("a",'Características dos Cabos'!$D$14:$K$18,8),IF(OR(N30="b",N30="c",O30="b",O30="c"),VLOOKUP("b",'Características dos Cabos'!$D$14:$K$18,8),IF(OR(N30="d",N30="e",O30="d",O30="e"),VLOOKUP("c",'Características dos Cabos'!$D$14:$K$18,8),IF(OR(N30="f",N30="g",N30="h",O30="f",O30="g",O30="h"),VLOOKUP("d",'Características dos Cabos'!$D$14:$K$18,8),IF(OR(N30="i",N30="j",N30="l",N30="m",O30="i",O31="j",O31="l",O31="m"),VLOOKUP("e",'Características dos Cabos'!$D$14:$K$18,8),"")))))</f>
        <v/>
      </c>
      <c r="V30" s="310" t="str">
        <f t="shared" si="6"/>
        <v/>
      </c>
      <c r="W30" s="309" t="str">
        <f t="shared" si="7"/>
        <v/>
      </c>
      <c r="X30" s="359" t="str">
        <f>IF(OR(N30="a",O30="a"),VLOOKUP("a",'Características dos Cabos'!$D$25:$L$29,3),IF(OR(N30="b",N30="c",O30="b",O30="c"),VLOOKUP("b",'Características dos Cabos'!$D$25:$L$29,3),IF(OR(N30="d",N30="e",O30="d",O30="e"),VLOOKUP("c",'Características dos Cabos'!$D$25:$L$29,3),IF(OR(N30="f",N30="g",N30="h",O30="f",O30="g",O30="h"),VLOOKUP("d",'Características dos Cabos'!$D$25:$L$29,3),IF(OR(N30="i",N30="j",N30="l",N30="m",O30="i",O30="j",O30="l",O30="m"),VLOOKUP("e",'Características dos Cabos'!$D$25:$L$29,3),"")))))</f>
        <v/>
      </c>
      <c r="Y30" s="359" t="str">
        <f>IF(OR(N30="a",O30="a"),VLOOKUP("a",'Características dos Cabos'!$D$14:$K$18,4),IF(OR(N30="b",N30="c",O30="b",O30="c"),VLOOKUP("b",'Características dos Cabos'!$D$14:$K$18,4),IF(OR(N30="d",N30="e",O30="d",O30="e"),VLOOKUP("c",'Características dos Cabos'!$D$14:$K$18,4),IF(OR(N30="f",N30="g",N30="h",O30="f",O30="g",O30="h"),VLOOKUP("d",'Características dos Cabos'!$D$14:$K$18,4),IF(OR(N30="i",N30="j",N30="l",N30="m",O30="i",O30="j",O30="l",O30="m"),VLOOKUP("e",'Características dos Cabos'!$D$14:$K$18,4),"")))))</f>
        <v/>
      </c>
      <c r="Z30" s="310" t="str">
        <f t="shared" si="8"/>
        <v/>
      </c>
      <c r="AA30" s="311" t="str">
        <f t="shared" si="0"/>
        <v/>
      </c>
      <c r="AB30" s="354"/>
      <c r="AC30" s="357">
        <f t="shared" si="1"/>
        <v>0</v>
      </c>
      <c r="AD30" s="357">
        <f t="shared" si="2"/>
        <v>0</v>
      </c>
      <c r="AE30" s="354">
        <f>SUM($P$21:P30)</f>
        <v>0</v>
      </c>
      <c r="AF30" s="301"/>
      <c r="AG30" s="302"/>
      <c r="AH30" s="312"/>
      <c r="AI30" s="302"/>
    </row>
    <row r="31" spans="1:35" ht="12" customHeight="1" thickTop="1" thickBot="1" x14ac:dyDescent="0.3">
      <c r="A31" s="106"/>
      <c r="B31" s="642"/>
      <c r="C31" s="72"/>
      <c r="D31" s="73"/>
      <c r="E31" s="74"/>
      <c r="F31" s="45" t="str">
        <f t="shared" si="3"/>
        <v/>
      </c>
      <c r="G31" s="63"/>
      <c r="H31" s="358" t="str">
        <f>IF(AND(E31="",G31=""),"",SUM(F31:$G$35))</f>
        <v/>
      </c>
      <c r="I31" s="307" t="str">
        <f>IF(OR(L31="",M31=""),"",IF(L31="3",VLOOKUP(N31,'K% (Rede Convencional)'!$B$18:$H$29,5),(IF(L31="2",VLOOKUP(O31,'K% (Rede Convencional)'!$B$18:$H$29,6),(IF(L31="1",VLOOKUP(O31,'K% (Rede Convencional)'!$B$18:$H$29,7)))))))</f>
        <v/>
      </c>
      <c r="J31" s="307" t="str">
        <f>IF(OR(L31="",M31=""),"",IF(L31="3",VLOOKUP(N31,'K% (Rede Convencional)'!$B$18:$E$29,2),(IF(L31="2",VLOOKUP(O31,'K% (Rede Convencional)'!$B$18:$E$29,3),(IF(L31="1",VLOOKUP(O31,'K% (Rede Convencional)'!$B$18:$E$29,4)))))))</f>
        <v/>
      </c>
      <c r="K31" s="307" t="str">
        <f t="shared" si="4"/>
        <v/>
      </c>
      <c r="L31" s="59"/>
      <c r="M31" s="59"/>
      <c r="N31" s="91">
        <f t="shared" si="10"/>
        <v>0</v>
      </c>
      <c r="O31" s="92" t="str">
        <f>IF(M31="","",IF(M31="4 (4)","a",IF(OR(M31="2 (4)",M31="2 (2)"),VLOOKUP(M31,mT!$AF$21:$AG$22,2,FALSE),IF(OR(M31="1/0 (4)",M31="1/0 (2)"),VLOOKUP(M31,mT!$AF$24:$AG$25,2,FALSE),IF(OR(M31="4/0 (4)",M31="4/0 (2)",M31="4/0 (1/0)"),VLOOKUP(M31,mT!$AF$27:$AG$29,2,FALSE),IF(OR(M31="336,4 (4)",M31="336,4 (2)",M31="336,4 (1/0)",M31="336,4 (4/0)"),VLOOKUP(M31,mT!$AF$31:$AG$34,2,FALSE),""))))))</f>
        <v/>
      </c>
      <c r="P31" s="63"/>
      <c r="Q31" s="309" t="str">
        <f t="shared" si="5"/>
        <v/>
      </c>
      <c r="R31" s="309" t="str">
        <f>IF(Q31="","",SUM($Q$20:Q31))</f>
        <v/>
      </c>
      <c r="S31" s="309" t="str">
        <f t="shared" si="9"/>
        <v/>
      </c>
      <c r="T31" s="310" t="str">
        <f>IF(OR(N31="a",O31="a"),VLOOKUP("a",'Características dos Cabos'!$D$25:$L$29,9),IF(OR(N31="b",N31="c",O31="b",O31="c"),VLOOKUP("b",'Características dos Cabos'!$D$25:$L$29,9),IF(OR(N31="d",N31="e",O31="d",O31="e"),VLOOKUP("c",'Características dos Cabos'!$D$25:$L$29,9),IF(OR(N31="f",N31="g",N31="h",O31="f",O31="g",O31="h"),VLOOKUP("d",'Características dos Cabos'!$D$25:$L$29,9),IF(OR(N31="i",N31="j",N31="l",N31="m",O31="i",O32="j",O32="l",O32="m"),VLOOKUP("e",'Características dos Cabos'!$D$25:$L$29,9),"")))))</f>
        <v/>
      </c>
      <c r="U31" s="310" t="str">
        <f>IF(OR(N31="a",O31="a"),VLOOKUP("a",'Características dos Cabos'!$D$14:$K$18,8),IF(OR(N31="b",N31="c",O31="b",O31="c"),VLOOKUP("b",'Características dos Cabos'!$D$14:$K$18,8),IF(OR(N31="d",N31="e",O31="d",O31="e"),VLOOKUP("c",'Características dos Cabos'!$D$14:$K$18,8),IF(OR(N31="f",N31="g",N31="h",O31="f",O31="g",O31="h"),VLOOKUP("d",'Características dos Cabos'!$D$14:$K$18,8),IF(OR(N31="i",N31="j",N31="l",N31="m",O31="i",O32="j",O32="l",O32="m"),VLOOKUP("e",'Características dos Cabos'!$D$14:$K$18,8),"")))))</f>
        <v/>
      </c>
      <c r="V31" s="310" t="str">
        <f t="shared" si="6"/>
        <v/>
      </c>
      <c r="W31" s="309" t="str">
        <f t="shared" si="7"/>
        <v/>
      </c>
      <c r="X31" s="359" t="str">
        <f>IF(OR(N31="a",O31="a"),VLOOKUP("a",'Características dos Cabos'!$D$25:$L$29,3),IF(OR(N31="b",N31="c",O31="b",O31="c"),VLOOKUP("b",'Características dos Cabos'!$D$25:$L$29,3),IF(OR(N31="d",N31="e",O31="d",O31="e"),VLOOKUP("c",'Características dos Cabos'!$D$25:$L$29,3),IF(OR(N31="f",N31="g",N31="h",O31="f",O31="g",O31="h"),VLOOKUP("d",'Características dos Cabos'!$D$25:$L$29,3),IF(OR(N31="i",N31="j",N31="l",N31="m",O31="i",O31="j",O31="l",O31="m"),VLOOKUP("e",'Características dos Cabos'!$D$25:$L$29,3),"")))))</f>
        <v/>
      </c>
      <c r="Y31" s="359" t="str">
        <f>IF(OR(N31="a",O31="a"),VLOOKUP("a",'Características dos Cabos'!$D$14:$K$18,4),IF(OR(N31="b",N31="c",O31="b",O31="c"),VLOOKUP("b",'Características dos Cabos'!$D$14:$K$18,4),IF(OR(N31="d",N31="e",O31="d",O31="e"),VLOOKUP("c",'Características dos Cabos'!$D$14:$K$18,4),IF(OR(N31="f",N31="g",N31="h",O31="f",O31="g",O31="h"),VLOOKUP("d",'Características dos Cabos'!$D$14:$K$18,4),IF(OR(N31="i",N31="j",N31="l",N31="m",O31="i",O31="j",O31="l",O31="m"),VLOOKUP("e",'Características dos Cabos'!$D$14:$K$18,4),"")))))</f>
        <v/>
      </c>
      <c r="Z31" s="310" t="str">
        <f t="shared" si="8"/>
        <v/>
      </c>
      <c r="AA31" s="311" t="str">
        <f t="shared" si="0"/>
        <v/>
      </c>
      <c r="AB31" s="354"/>
      <c r="AC31" s="357">
        <f t="shared" si="1"/>
        <v>0</v>
      </c>
      <c r="AD31" s="357">
        <f t="shared" si="2"/>
        <v>0</v>
      </c>
      <c r="AE31" s="354">
        <f>SUM($P$21:P31)</f>
        <v>0</v>
      </c>
      <c r="AF31" s="301" t="s">
        <v>70</v>
      </c>
      <c r="AG31" s="302" t="s">
        <v>91</v>
      </c>
      <c r="AH31" s="312"/>
      <c r="AI31" s="302"/>
    </row>
    <row r="32" spans="1:35" ht="13.5" thickTop="1" thickBot="1" x14ac:dyDescent="0.3">
      <c r="A32" s="106"/>
      <c r="B32" s="642"/>
      <c r="C32" s="72"/>
      <c r="D32" s="73"/>
      <c r="E32" s="74"/>
      <c r="F32" s="45" t="str">
        <f t="shared" si="3"/>
        <v/>
      </c>
      <c r="G32" s="63"/>
      <c r="H32" s="358" t="str">
        <f>IF(AND(E32="",G32=""),"",SUM(F32:$G$35))</f>
        <v/>
      </c>
      <c r="I32" s="307" t="str">
        <f>IF(OR(L32="",M32=""),"",IF(L32="3",VLOOKUP(N32,'K% (Rede Convencional)'!$B$18:$H$29,5),(IF(L32="2",VLOOKUP(O32,'K% (Rede Convencional)'!$B$18:$H$29,6),(IF(L32="1",VLOOKUP(O32,'K% (Rede Convencional)'!$B$18:$H$29,7)))))))</f>
        <v/>
      </c>
      <c r="J32" s="307" t="str">
        <f>IF(OR(L32="",M32=""),"",IF(L32="3",VLOOKUP(N32,'K% (Rede Convencional)'!$B$18:$E$29,2),(IF(L32="2",VLOOKUP(O32,'K% (Rede Convencional)'!$B$18:$E$29,3),(IF(L32="1",VLOOKUP(O32,'K% (Rede Convencional)'!$B$18:$E$29,4)))))))</f>
        <v/>
      </c>
      <c r="K32" s="307" t="str">
        <f t="shared" si="4"/>
        <v/>
      </c>
      <c r="L32" s="59"/>
      <c r="M32" s="59"/>
      <c r="N32" s="91">
        <f t="shared" si="10"/>
        <v>0</v>
      </c>
      <c r="O32" s="92" t="str">
        <f>IF(M32="","",IF(M32="4 (4)","a",IF(OR(M32="2 (4)",M32="2 (2)"),VLOOKUP(M32,mT!$AF$21:$AG$22,2,FALSE),IF(OR(M32="1/0 (4)",M32="1/0 (2)"),VLOOKUP(M32,mT!$AF$24:$AG$25,2,FALSE),IF(OR(M32="4/0 (4)",M32="4/0 (2)",M32="4/0 (1/0)"),VLOOKUP(M32,mT!$AF$27:$AG$29,2,FALSE),IF(OR(M32="336,4 (4)",M32="336,4 (2)",M32="336,4 (1/0)",M32="336,4 (4/0)"),VLOOKUP(M32,mT!$AF$31:$AG$34,2,FALSE),""))))))</f>
        <v/>
      </c>
      <c r="P32" s="63"/>
      <c r="Q32" s="309" t="str">
        <f t="shared" si="5"/>
        <v/>
      </c>
      <c r="R32" s="309" t="str">
        <f>IF(Q32="","",SUM($Q$20:Q32))</f>
        <v/>
      </c>
      <c r="S32" s="309" t="str">
        <f t="shared" si="9"/>
        <v/>
      </c>
      <c r="T32" s="310" t="str">
        <f>IF(OR(N32="a",O32="a"),VLOOKUP("a",'Características dos Cabos'!$D$25:$L$29,9),IF(OR(N32="b",N32="c",O32="b",O32="c"),VLOOKUP("b",'Características dos Cabos'!$D$25:$L$29,9),IF(OR(N32="d",N32="e",O32="d",O32="e"),VLOOKUP("c",'Características dos Cabos'!$D$25:$L$29,9),IF(OR(N32="f",N32="g",N32="h",O32="f",O32="g",O32="h"),VLOOKUP("d",'Características dos Cabos'!$D$25:$L$29,9),IF(OR(N32="i",N32="j",N32="l",N32="m",O32="i",O33="j",O33="l",O33="m"),VLOOKUP("e",'Características dos Cabos'!$D$25:$L$29,9),"")))))</f>
        <v/>
      </c>
      <c r="U32" s="310" t="str">
        <f>IF(OR(N32="a",O32="a"),VLOOKUP("a",'Características dos Cabos'!$D$14:$K$18,8),IF(OR(N32="b",N32="c",O32="b",O32="c"),VLOOKUP("b",'Características dos Cabos'!$D$14:$K$18,8),IF(OR(N32="d",N32="e",O32="d",O32="e"),VLOOKUP("c",'Características dos Cabos'!$D$14:$K$18,8),IF(OR(N32="f",N32="g",N32="h",O32="f",O32="g",O32="h"),VLOOKUP("d",'Características dos Cabos'!$D$14:$K$18,8),IF(OR(N32="i",N32="j",N32="l",N32="m",O32="i",O33="j",O33="l",O33="m"),VLOOKUP("e",'Características dos Cabos'!$D$14:$K$18,8),"")))))</f>
        <v/>
      </c>
      <c r="V32" s="310" t="str">
        <f t="shared" si="6"/>
        <v/>
      </c>
      <c r="W32" s="309" t="str">
        <f t="shared" si="7"/>
        <v/>
      </c>
      <c r="X32" s="359" t="str">
        <f>IF(OR(N32="a",O32="a"),VLOOKUP("a",'Características dos Cabos'!$D$25:$L$29,3),IF(OR(N32="b",N32="c",O32="b",O32="c"),VLOOKUP("b",'Características dos Cabos'!$D$25:$L$29,3),IF(OR(N32="d",N32="e",O32="d",O32="e"),VLOOKUP("c",'Características dos Cabos'!$D$25:$L$29,3),IF(OR(N32="f",N32="g",N32="h",O32="f",O32="g",O32="h"),VLOOKUP("d",'Características dos Cabos'!$D$25:$L$29,3),IF(OR(N32="i",N32="j",N32="l",N32="m",O32="i",O32="j",O32="l",O32="m"),VLOOKUP("e",'Características dos Cabos'!$D$25:$L$29,3),"")))))</f>
        <v/>
      </c>
      <c r="Y32" s="359" t="str">
        <f>IF(OR(N32="a",O32="a"),VLOOKUP("a",'Características dos Cabos'!$D$14:$K$18,4),IF(OR(N32="b",N32="c",O32="b",O32="c"),VLOOKUP("b",'Características dos Cabos'!$D$14:$K$18,4),IF(OR(N32="d",N32="e",O32="d",O32="e"),VLOOKUP("c",'Características dos Cabos'!$D$14:$K$18,4),IF(OR(N32="f",N32="g",N32="h",O32="f",O32="g",O32="h"),VLOOKUP("d",'Características dos Cabos'!$D$14:$K$18,4),IF(OR(N32="i",N32="j",N32="l",N32="m",O32="i",O32="j",O32="l",O32="m"),VLOOKUP("e",'Características dos Cabos'!$D$14:$K$18,4),"")))))</f>
        <v/>
      </c>
      <c r="Z32" s="310" t="str">
        <f t="shared" si="8"/>
        <v/>
      </c>
      <c r="AA32" s="311" t="str">
        <f t="shared" si="0"/>
        <v/>
      </c>
      <c r="AB32" s="354"/>
      <c r="AC32" s="357">
        <f t="shared" si="1"/>
        <v>0</v>
      </c>
      <c r="AD32" s="357">
        <f t="shared" si="2"/>
        <v>0</v>
      </c>
      <c r="AE32" s="354">
        <f>SUM($P$32:P32)</f>
        <v>0</v>
      </c>
      <c r="AF32" s="301" t="s">
        <v>71</v>
      </c>
      <c r="AG32" s="302" t="s">
        <v>92</v>
      </c>
      <c r="AH32" s="312"/>
      <c r="AI32" s="302"/>
    </row>
    <row r="33" spans="1:35" ht="13.5" thickTop="1" thickBot="1" x14ac:dyDescent="0.3">
      <c r="A33" s="106"/>
      <c r="B33" s="642"/>
      <c r="C33" s="72"/>
      <c r="D33" s="73"/>
      <c r="E33" s="74"/>
      <c r="F33" s="45" t="str">
        <f t="shared" si="3"/>
        <v/>
      </c>
      <c r="G33" s="63"/>
      <c r="H33" s="358" t="str">
        <f>IF(AND(E33="",G33=""),"",SUM(F33:$G$35))</f>
        <v/>
      </c>
      <c r="I33" s="307" t="str">
        <f>IF(OR(L33="",M33=""),"",IF(L33="3",VLOOKUP(N33,'K% (Rede Convencional)'!$B$18:$H$29,5),(IF(L33="2",VLOOKUP(O33,'K% (Rede Convencional)'!$B$18:$H$29,6),(IF(L33="1",VLOOKUP(O33,'K% (Rede Convencional)'!$B$18:$H$29,7)))))))</f>
        <v/>
      </c>
      <c r="J33" s="307" t="str">
        <f>IF(OR(L33="",M33=""),"",IF(L33="3",VLOOKUP(N33,'K% (Rede Convencional)'!$B$18:$E$29,2),(IF(L33="2",VLOOKUP(O33,'K% (Rede Convencional)'!$B$18:$E$29,3),(IF(L33="1",VLOOKUP(O33,'K% (Rede Convencional)'!$B$18:$E$29,4)))))))</f>
        <v/>
      </c>
      <c r="K33" s="307" t="str">
        <f t="shared" si="4"/>
        <v/>
      </c>
      <c r="L33" s="59"/>
      <c r="M33" s="59"/>
      <c r="N33" s="91">
        <f t="shared" si="10"/>
        <v>0</v>
      </c>
      <c r="O33" s="92" t="str">
        <f>IF(M33="","",IF(M33="4 (4)","a",IF(OR(M33="2 (4)",M33="2 (2)"),VLOOKUP(M33,mT!$AF$21:$AG$22,2,FALSE),IF(OR(M33="1/0 (4)",M33="1/0 (2)"),VLOOKUP(M33,mT!$AF$24:$AG$25,2,FALSE),IF(OR(M33="4/0 (4)",M33="4/0 (2)",M33="4/0 (1/0)"),VLOOKUP(M33,mT!$AF$27:$AG$29,2,FALSE),IF(OR(M33="336,4 (4)",M33="336,4 (2)",M33="336,4 (1/0)",M33="336,4 (4/0)"),VLOOKUP(M33,mT!$AF$31:$AG$34,2,FALSE),""))))))</f>
        <v/>
      </c>
      <c r="P33" s="63"/>
      <c r="Q33" s="309" t="str">
        <f t="shared" si="5"/>
        <v/>
      </c>
      <c r="R33" s="309" t="str">
        <f>IF(Q33="","",SUM($Q$20:Q33))</f>
        <v/>
      </c>
      <c r="S33" s="309" t="str">
        <f t="shared" si="9"/>
        <v/>
      </c>
      <c r="T33" s="310" t="str">
        <f>IF(OR(N33="a",O33="a"),VLOOKUP("a",'Características dos Cabos'!$D$25:$L$29,9),IF(OR(N33="b",N33="c",O33="b",O33="c"),VLOOKUP("b",'Características dos Cabos'!$D$25:$L$29,9),IF(OR(N33="d",N33="e",O33="d",O33="e"),VLOOKUP("c",'Características dos Cabos'!$D$25:$L$29,9),IF(OR(N33="f",N33="g",N33="h",O33="f",O33="g",O33="h"),VLOOKUP("d",'Características dos Cabos'!$D$25:$L$29,9),IF(OR(N33="i",N33="j",N33="l",N33="m",O33="i",O34="j",O34="l",O34="m"),VLOOKUP("e",'Características dos Cabos'!$D$25:$L$29,9),"")))))</f>
        <v/>
      </c>
      <c r="U33" s="310" t="str">
        <f>IF(OR(N33="a",O33="a"),VLOOKUP("a",'Características dos Cabos'!$D$14:$K$18,8),IF(OR(N33="b",N33="c",O33="b",O33="c"),VLOOKUP("b",'Características dos Cabos'!$D$14:$K$18,8),IF(OR(N33="d",N33="e",O33="d",O33="e"),VLOOKUP("c",'Características dos Cabos'!$D$14:$K$18,8),IF(OR(N33="f",N33="g",N33="h",O33="f",O33="g",O33="h"),VLOOKUP("d",'Características dos Cabos'!$D$14:$K$18,8),IF(OR(N33="i",N33="j",N33="l",N33="m",O33="i",O34="j",O34="l",O34="m"),VLOOKUP("e",'Características dos Cabos'!$D$14:$K$18,8),"")))))</f>
        <v/>
      </c>
      <c r="V33" s="310" t="str">
        <f t="shared" si="6"/>
        <v/>
      </c>
      <c r="W33" s="309" t="str">
        <f t="shared" si="7"/>
        <v/>
      </c>
      <c r="X33" s="359" t="str">
        <f>IF(OR(N33="a",O33="a"),VLOOKUP("a",'Características dos Cabos'!$D$25:$L$29,3),IF(OR(N33="b",N33="c",O33="b",O33="c"),VLOOKUP("b",'Características dos Cabos'!$D$25:$L$29,3),IF(OR(N33="d",N33="e",O33="d",O33="e"),VLOOKUP("c",'Características dos Cabos'!$D$25:$L$29,3),IF(OR(N33="f",N33="g",N33="h",O33="f",O33="g",O33="h"),VLOOKUP("d",'Características dos Cabos'!$D$25:$L$29,3),IF(OR(N33="i",N33="j",N33="l",N33="m",O33="i",O33="j",O33="l",O33="m"),VLOOKUP("e",'Características dos Cabos'!$D$25:$L$29,3),"")))))</f>
        <v/>
      </c>
      <c r="Y33" s="359" t="str">
        <f>IF(OR(N33="a",O33="a"),VLOOKUP("a",'Características dos Cabos'!$D$14:$K$18,4),IF(OR(N33="b",N33="c",O33="b",O33="c"),VLOOKUP("b",'Características dos Cabos'!$D$14:$K$18,4),IF(OR(N33="d",N33="e",O33="d",O33="e"),VLOOKUP("c",'Características dos Cabos'!$D$14:$K$18,4),IF(OR(N33="f",N33="g",N33="h",O33="f",O33="g",O33="h"),VLOOKUP("d",'Características dos Cabos'!$D$14:$K$18,4),IF(OR(N33="i",N33="j",N33="l",N33="m",O33="i",O33="j",O33="l",O33="m"),VLOOKUP("e",'Características dos Cabos'!$D$14:$K$18,4),"")))))</f>
        <v/>
      </c>
      <c r="Z33" s="310" t="str">
        <f t="shared" si="8"/>
        <v/>
      </c>
      <c r="AA33" s="311" t="str">
        <f t="shared" si="0"/>
        <v/>
      </c>
      <c r="AB33" s="354"/>
      <c r="AC33" s="357">
        <f t="shared" si="1"/>
        <v>0</v>
      </c>
      <c r="AD33" s="357">
        <f t="shared" si="2"/>
        <v>0</v>
      </c>
      <c r="AE33" s="354">
        <f>SUM($P$32:P33)</f>
        <v>0</v>
      </c>
      <c r="AF33" s="301" t="s">
        <v>72</v>
      </c>
      <c r="AG33" s="302" t="s">
        <v>93</v>
      </c>
      <c r="AH33" s="312"/>
      <c r="AI33" s="302"/>
    </row>
    <row r="34" spans="1:35" ht="13.5" thickTop="1" thickBot="1" x14ac:dyDescent="0.3">
      <c r="A34" s="106"/>
      <c r="B34" s="642"/>
      <c r="C34" s="72"/>
      <c r="D34" s="73"/>
      <c r="E34" s="74"/>
      <c r="F34" s="45" t="str">
        <f t="shared" si="3"/>
        <v/>
      </c>
      <c r="G34" s="63"/>
      <c r="H34" s="358" t="str">
        <f>IF(AND(E34="",G34=""),"",SUM(F34:$G$35))</f>
        <v/>
      </c>
      <c r="I34" s="307" t="str">
        <f>IF(OR(L34="",M34=""),"",IF(L34="3",VLOOKUP(N34,'K% (Rede Convencional)'!$B$18:$H$29,5),(IF(L34="2",VLOOKUP(O34,'K% (Rede Convencional)'!$B$18:$H$29,6),(IF(L34="1",VLOOKUP(O34,'K% (Rede Convencional)'!$B$18:$H$29,7)))))))</f>
        <v/>
      </c>
      <c r="J34" s="307" t="str">
        <f>IF(OR(L34="",M34=""),"",IF(L34="3",VLOOKUP(N34,'K% (Rede Convencional)'!$B$18:$E$29,2),(IF(L34="2",VLOOKUP(O34,'K% (Rede Convencional)'!$B$18:$E$29,3),(IF(L34="1",VLOOKUP(O34,'K% (Rede Convencional)'!$B$18:$E$29,4)))))))</f>
        <v/>
      </c>
      <c r="K34" s="307" t="str">
        <f t="shared" si="4"/>
        <v/>
      </c>
      <c r="L34" s="59"/>
      <c r="M34" s="59"/>
      <c r="N34" s="91">
        <f t="shared" si="10"/>
        <v>0</v>
      </c>
      <c r="O34" s="92" t="str">
        <f>IF(M34="","",IF(M34="4 (4)","a",IF(OR(M34="2 (4)",M34="2 (2)"),VLOOKUP(M34,mT!$AF$21:$AG$22,2,FALSE),IF(OR(M34="1/0 (4)",M34="1/0 (2)"),VLOOKUP(M34,mT!$AF$24:$AG$25,2,FALSE),IF(OR(M34="4/0 (4)",M34="4/0 (2)",M34="4/0 (1/0)"),VLOOKUP(M34,mT!$AF$27:$AG$29,2,FALSE),IF(OR(M34="336,4 (4)",M34="336,4 (2)",M34="336,4 (1/0)",M34="336,4 (4/0)"),VLOOKUP(M34,mT!$AF$31:$AG$34,2,FALSE),""))))))</f>
        <v/>
      </c>
      <c r="P34" s="63"/>
      <c r="Q34" s="309" t="str">
        <f t="shared" si="5"/>
        <v/>
      </c>
      <c r="R34" s="309" t="str">
        <f>IF(Q34="","",SUM($Q$20:Q34))</f>
        <v/>
      </c>
      <c r="S34" s="309" t="str">
        <f t="shared" si="9"/>
        <v/>
      </c>
      <c r="T34" s="310" t="str">
        <f>IF(OR(N34="a",O34="a"),VLOOKUP("a",'Características dos Cabos'!$D$25:$L$29,9),IF(OR(N34="b",N34="c",O34="b",O34="c"),VLOOKUP("b",'Características dos Cabos'!$D$25:$L$29,9),IF(OR(N34="d",N34="e",O34="d",O34="e"),VLOOKUP("c",'Características dos Cabos'!$D$25:$L$29,9),IF(OR(N34="f",N34="g",N34="h",O34="f",O34="g",O34="h"),VLOOKUP("d",'Características dos Cabos'!$D$25:$L$29,9),IF(OR(N34="i",N34="j",N34="l",N34="m",O34="i",O35="j",O35="l",O35="m"),VLOOKUP("e",'Características dos Cabos'!$D$25:$L$29,9),"")))))</f>
        <v/>
      </c>
      <c r="U34" s="310" t="str">
        <f>IF(OR(N34="a",O34="a"),VLOOKUP("a",'Características dos Cabos'!$D$14:$K$18,8),IF(OR(N34="b",N34="c",O34="b",O34="c"),VLOOKUP("b",'Características dos Cabos'!$D$14:$K$18,8),IF(OR(N34="d",N34="e",O34="d",O34="e"),VLOOKUP("c",'Características dos Cabos'!$D$14:$K$18,8),IF(OR(N34="f",N34="g",N34="h",O34="f",O34="g",O34="h"),VLOOKUP("d",'Características dos Cabos'!$D$14:$K$18,8),IF(OR(N34="i",N34="j",N34="l",N34="m",O34="i",O35="j",O35="l",O35="m"),VLOOKUP("e",'Características dos Cabos'!$D$14:$K$18,8),"")))))</f>
        <v/>
      </c>
      <c r="V34" s="310" t="str">
        <f t="shared" si="6"/>
        <v/>
      </c>
      <c r="W34" s="309" t="str">
        <f t="shared" si="7"/>
        <v/>
      </c>
      <c r="X34" s="359" t="str">
        <f>IF(OR(N34="a",O34="a"),VLOOKUP("a",'Características dos Cabos'!$D$25:$L$29,3),IF(OR(N34="b",N34="c",O34="b",O34="c"),VLOOKUP("b",'Características dos Cabos'!$D$25:$L$29,3),IF(OR(N34="d",N34="e",O34="d",O34="e"),VLOOKUP("c",'Características dos Cabos'!$D$25:$L$29,3),IF(OR(N34="f",N34="g",N34="h",O34="f",O34="g",O34="h"),VLOOKUP("d",'Características dos Cabos'!$D$25:$L$29,3),IF(OR(N34="i",N34="j",N34="l",N34="m",O34="i",O34="j",O34="l",O34="m"),VLOOKUP("e",'Características dos Cabos'!$D$25:$L$29,3),"")))))</f>
        <v/>
      </c>
      <c r="Y34" s="359" t="str">
        <f>IF(OR(N34="a",O34="a"),VLOOKUP("a",'Características dos Cabos'!$D$14:$K$18,4),IF(OR(N34="b",N34="c",O34="b",O34="c"),VLOOKUP("b",'Características dos Cabos'!$D$14:$K$18,4),IF(OR(N34="d",N34="e",O34="d",O34="e"),VLOOKUP("c",'Características dos Cabos'!$D$14:$K$18,4),IF(OR(N34="f",N34="g",N34="h",O34="f",O34="g",O34="h"),VLOOKUP("d",'Características dos Cabos'!$D$14:$K$18,4),IF(OR(N34="i",N34="j",N34="l",N34="m",O34="i",O34="j",O34="l",O34="m"),VLOOKUP("e",'Características dos Cabos'!$D$14:$K$18,4),"")))))</f>
        <v/>
      </c>
      <c r="Z34" s="310" t="str">
        <f t="shared" si="8"/>
        <v/>
      </c>
      <c r="AA34" s="311" t="str">
        <f t="shared" si="0"/>
        <v/>
      </c>
      <c r="AB34" s="354"/>
      <c r="AC34" s="357">
        <f t="shared" si="1"/>
        <v>0</v>
      </c>
      <c r="AD34" s="357">
        <f t="shared" si="2"/>
        <v>0</v>
      </c>
      <c r="AE34" s="354">
        <f>SUM($P$32:P34)</f>
        <v>0</v>
      </c>
      <c r="AF34" s="325" t="s">
        <v>73</v>
      </c>
      <c r="AG34" s="326" t="s">
        <v>94</v>
      </c>
      <c r="AH34" s="327"/>
      <c r="AI34" s="326"/>
    </row>
    <row r="35" spans="1:35" ht="13.5" thickTop="1" thickBot="1" x14ac:dyDescent="0.3">
      <c r="A35" s="106"/>
      <c r="B35" s="643"/>
      <c r="C35" s="75"/>
      <c r="D35" s="76"/>
      <c r="E35" s="77"/>
      <c r="F35" s="45" t="str">
        <f t="shared" si="3"/>
        <v/>
      </c>
      <c r="G35" s="64"/>
      <c r="H35" s="360" t="str">
        <f>IF(AND(E35="",G35=""),"",SUM(F35:$G$35))</f>
        <v/>
      </c>
      <c r="I35" s="329" t="str">
        <f>IF(OR(L35="",M35=""),"",IF(L35="3",VLOOKUP(N35,'K% (Rede Convencional)'!$B$18:$H$29,5),(IF(L35="2",VLOOKUP(O35,'K% (Rede Convencional)'!$B$18:$H$29,6),(IF(L35="1",VLOOKUP(O35,'K% (Rede Convencional)'!$B$18:$H$29,7)))))))</f>
        <v/>
      </c>
      <c r="J35" s="329" t="str">
        <f>IF(OR(L35="",M35=""),"",IF(L35="3",VLOOKUP(N35,'K% (Rede Convencional)'!$B$18:$E$29,2),(IF(L35="2",VLOOKUP(O35,'K% (Rede Convencional)'!$B$18:$E$29,3),(IF(L35="1",VLOOKUP(O35,'K% (Rede Convencional)'!$B$18:$E$29,4)))))))</f>
        <v/>
      </c>
      <c r="K35" s="329" t="str">
        <f t="shared" si="4"/>
        <v/>
      </c>
      <c r="L35" s="61"/>
      <c r="M35" s="61"/>
      <c r="N35" s="91"/>
      <c r="O35" s="92"/>
      <c r="P35" s="64"/>
      <c r="Q35" s="331" t="str">
        <f t="shared" si="5"/>
        <v/>
      </c>
      <c r="R35" s="331" t="str">
        <f>IF(Q35="","",SUM($Q$20:Q35))</f>
        <v/>
      </c>
      <c r="S35" s="331" t="str">
        <f t="shared" si="9"/>
        <v/>
      </c>
      <c r="T35" s="332" t="str">
        <f>IF(OR(N35="a",O35="a"),VLOOKUP("a",'Características dos Cabos'!$D$25:$L$29,9),IF(OR(N35="b",N35="c",O35="b",O35="c"),VLOOKUP("b",'Características dos Cabos'!$D$25:$L$29,9),IF(OR(N35="d",N35="e",O35="d",O35="e"),VLOOKUP("c",'Características dos Cabos'!$D$25:$L$29,9),IF(OR(N35="f",N35="g",N35="h",O35="f",O35="g",O35="h"),VLOOKUP("d",'Características dos Cabos'!$D$25:$L$29,9),IF(OR(N35="i",N35="j",N35="l",N35="m",O35="i",O36="j",O36="l",O36="m"),VLOOKUP("e",'Características dos Cabos'!$D$25:$L$29,9),"")))))</f>
        <v/>
      </c>
      <c r="U35" s="332" t="str">
        <f>IF(OR(N35="a",O35="a"),VLOOKUP("a",'Características dos Cabos'!$D$14:$K$18,8),IF(OR(N35="b",N35="c",O35="b",O35="c"),VLOOKUP("b",'Características dos Cabos'!$D$14:$K$18,8),IF(OR(N35="d",N35="e",O35="d",O35="e"),VLOOKUP("c",'Características dos Cabos'!$D$14:$K$18,8),IF(OR(N35="f",N35="g",N35="h",O35="f",O35="g",O35="h"),VLOOKUP("d",'Características dos Cabos'!$D$14:$K$18,8),IF(OR(N35="i",N35="j",N35="l",N35="m",O35="i",O36="j",O36="l",O36="m"),VLOOKUP("e",'Características dos Cabos'!$D$14:$K$18,8),"")))))</f>
        <v/>
      </c>
      <c r="V35" s="332" t="str">
        <f t="shared" si="6"/>
        <v/>
      </c>
      <c r="W35" s="331" t="str">
        <f t="shared" si="7"/>
        <v/>
      </c>
      <c r="X35" s="361" t="str">
        <f>IF(OR(N35="a",O35="a"),VLOOKUP("a",'Características dos Cabos'!$D$25:$L$29,3),IF(OR(N35="b",N35="c",O35="b",O35="c"),VLOOKUP("b",'Características dos Cabos'!$D$25:$L$29,3),IF(OR(N35="d",N35="e",O35="d",O35="e"),VLOOKUP("c",'Características dos Cabos'!$D$25:$L$29,3),IF(OR(N35="f",N35="g",N35="h",O35="f",O35="g",O35="h"),VLOOKUP("d",'Características dos Cabos'!$D$25:$L$29,3),IF(OR(N35="i",N35="j",N35="l",N35="m",O35="i",O35="j",O35="l",O35="m"),VLOOKUP("e",'Características dos Cabos'!$D$25:$L$29,3),"")))))</f>
        <v/>
      </c>
      <c r="Y35" s="361" t="str">
        <f>IF(OR(N35="a",O35="a"),VLOOKUP("a",'Características dos Cabos'!$D$14:$K$18,4),IF(OR(N35="b",N35="c",O35="b",O35="c"),VLOOKUP("b",'Características dos Cabos'!$D$14:$K$18,4),IF(OR(N35="d",N35="e",O35="d",O35="e"),VLOOKUP("c",'Características dos Cabos'!$D$14:$K$18,4),IF(OR(N35="f",N35="g",N35="h",O35="f",O35="g",O35="h"),VLOOKUP("d",'Características dos Cabos'!$D$14:$K$18,4),IF(OR(N35="i",N35="j",N35="l",N35="m",O35="i",O35="j",O35="l",O35="m"),VLOOKUP("e",'Características dos Cabos'!$D$14:$K$18,4),"")))))</f>
        <v/>
      </c>
      <c r="Z35" s="332" t="str">
        <f t="shared" si="8"/>
        <v/>
      </c>
      <c r="AA35" s="333" t="str">
        <f t="shared" si="0"/>
        <v/>
      </c>
      <c r="AB35" s="354"/>
      <c r="AC35" s="357">
        <f t="shared" si="1"/>
        <v>0</v>
      </c>
      <c r="AD35" s="357">
        <f t="shared" si="2"/>
        <v>0</v>
      </c>
      <c r="AE35" s="354">
        <f>SUM($P$32:P35)</f>
        <v>0</v>
      </c>
    </row>
    <row r="36" spans="1:35" ht="15" customHeight="1" thickTop="1" thickBot="1" x14ac:dyDescent="0.3">
      <c r="A36" s="106"/>
      <c r="B36" s="106"/>
      <c r="C36" s="104"/>
      <c r="D36" s="104"/>
      <c r="E36" s="105"/>
      <c r="F36" s="305"/>
      <c r="G36" s="105"/>
      <c r="H36" s="362"/>
      <c r="I36" s="337"/>
      <c r="J36" s="337"/>
      <c r="K36" s="337"/>
      <c r="L36" s="105"/>
      <c r="M36" s="105"/>
      <c r="N36" s="363"/>
      <c r="O36" s="364"/>
      <c r="P36" s="105"/>
      <c r="Q36" s="339"/>
      <c r="R36" s="339"/>
      <c r="S36" s="339"/>
      <c r="T36" s="341"/>
      <c r="U36" s="341"/>
      <c r="V36" s="341"/>
      <c r="W36" s="339"/>
      <c r="X36" s="365"/>
      <c r="Y36" s="365"/>
      <c r="Z36" s="341"/>
      <c r="AA36" s="366"/>
      <c r="AB36" s="354"/>
      <c r="AC36" s="357"/>
      <c r="AD36" s="357"/>
      <c r="AE36" s="354"/>
    </row>
    <row r="37" spans="1:35" ht="13.5" thickTop="1" thickBot="1" x14ac:dyDescent="0.3">
      <c r="A37" s="106"/>
      <c r="B37" s="639" t="s">
        <v>139</v>
      </c>
      <c r="C37" s="69"/>
      <c r="D37" s="70"/>
      <c r="E37" s="78"/>
      <c r="F37" s="45"/>
      <c r="G37" s="79"/>
      <c r="H37" s="355" t="str">
        <f>IF(AND(E37="",G37=""),"",SUM(F37:G40))</f>
        <v/>
      </c>
      <c r="I37" s="321" t="str">
        <f>IF(OR(L37="",M37=""),"",IF(L37="3",VLOOKUP(N37,'K% (Rede Convencional)'!$B$18:$H$29,5),(IF(L37="2",VLOOKUP(O37,'K% (Rede Convencional)'!$B$18:$H$29,6),(IF(L37="1",VLOOKUP(O37,'K% (Rede Convencional)'!$B$18:$H$29,7)))))))</f>
        <v/>
      </c>
      <c r="J37" s="321" t="str">
        <f>IF(OR(L37="",M37=""),"",IF(L37="3",VLOOKUP(N37,'K% (Rede Convencional)'!$B$18:$E$29,2),(IF(L37="2",VLOOKUP(O37,'K% (Rede Convencional)'!$B$18:$E$29,3),(IF(L37="1",VLOOKUP(O37,'K% (Rede Convencional)'!$B$18:$E$29,4)))))))</f>
        <v/>
      </c>
      <c r="K37" s="321" t="str">
        <f t="shared" si="4"/>
        <v/>
      </c>
      <c r="L37" s="60"/>
      <c r="M37" s="60"/>
      <c r="N37" s="91"/>
      <c r="O37" s="92"/>
      <c r="P37" s="79"/>
      <c r="Q37" s="322" t="str">
        <f t="shared" si="5"/>
        <v/>
      </c>
      <c r="R37" s="322" t="str">
        <f>IF(Q37="","",SUM($Q$20:Q37))</f>
        <v/>
      </c>
      <c r="S37" s="322" t="str">
        <f t="shared" si="9"/>
        <v/>
      </c>
      <c r="T37" s="323" t="str">
        <f>IF(OR(N37="a",O37="a"),VLOOKUP("a",'Características dos Cabos'!$D$25:$L$29,9),IF(OR(N37="b",N37="c",O37="b",O37="c"),VLOOKUP("b",'Características dos Cabos'!$D$25:$L$29,9),IF(OR(N37="d",N37="e",O37="d",O37="e"),VLOOKUP("c",'Características dos Cabos'!$D$25:$L$29,9),IF(OR(N37="f",N37="g",N37="h",O37="f",O37="g",O37="h"),VLOOKUP("d",'Características dos Cabos'!$D$25:$L$29,9),IF(OR(N37="i",N37="j",N37="l",N37="m",O37="i",O38="j",O38="l",O38="m"),VLOOKUP("e",'Características dos Cabos'!$D$25:$L$29,9),"")))))</f>
        <v/>
      </c>
      <c r="U37" s="323" t="str">
        <f>IF(OR(N37="a",O37="a"),VLOOKUP("a",'Características dos Cabos'!$D$14:$K$18,8),IF(OR(N37="b",N37="c",O37="b",O37="c"),VLOOKUP("b",'Características dos Cabos'!$D$14:$K$18,8),IF(OR(N37="d",N37="e",O37="d",O37="e"),VLOOKUP("c",'Características dos Cabos'!$D$14:$K$18,8),IF(OR(N37="f",N37="g",N37="h",O37="f",O37="g",O37="h"),VLOOKUP("d",'Características dos Cabos'!$D$14:$K$18,8),IF(OR(N37="i",N37="j",N37="l",N37="m",O37="i",O38="j",O38="l",O38="m"),VLOOKUP("e",'Características dos Cabos'!$D$14:$K$18,8),"")))))</f>
        <v/>
      </c>
      <c r="V37" s="323" t="str">
        <f t="shared" si="6"/>
        <v/>
      </c>
      <c r="W37" s="322" t="str">
        <f t="shared" si="7"/>
        <v/>
      </c>
      <c r="X37" s="356" t="str">
        <f>IF(OR(N37="a",O37="a"),VLOOKUP("a",'Características dos Cabos'!$D$25:$L$29,3),IF(OR(N37="b",N37="c",O37="b",O37="c"),VLOOKUP("b",'Características dos Cabos'!$D$25:$L$29,3),IF(OR(N37="d",N37="e",O37="d",O37="e"),VLOOKUP("c",'Características dos Cabos'!$D$25:$L$29,3),IF(OR(N37="f",N37="g",N37="h",O37="f",O37="g",O37="h"),VLOOKUP("d",'Características dos Cabos'!$D$25:$L$29,3),IF(OR(N37="i",N37="j",N37="l",N37="m",O37="i",O37="j",O37="l",O37="m"),VLOOKUP("e",'Características dos Cabos'!$D$25:$L$29,3),"")))))</f>
        <v/>
      </c>
      <c r="Y37" s="356" t="str">
        <f>IF(OR(N37="a",O37="a"),VLOOKUP("a",'Características dos Cabos'!$D$14:$K$18,4),IF(OR(N37="b",N37="c",O37="b",O37="c"),VLOOKUP("b",'Características dos Cabos'!$D$14:$K$18,4),IF(OR(N37="d",N37="e",O37="d",O37="e"),VLOOKUP("c",'Características dos Cabos'!$D$14:$K$18,4),IF(OR(N37="f",N37="g",N37="h",O37="f",O37="g",O37="h"),VLOOKUP("d",'Características dos Cabos'!$D$14:$K$18,4),IF(OR(N37="i",N37="j",N37="l",N37="m",O37="i",O37="j",O37="l",O37="m"),VLOOKUP("e",'Características dos Cabos'!$D$14:$K$18,4),"")))))</f>
        <v/>
      </c>
      <c r="Z37" s="323" t="str">
        <f t="shared" si="8"/>
        <v/>
      </c>
      <c r="AA37" s="324" t="str">
        <f t="shared" ref="AA37:AA52" si="11">IF(OR(P37="",$G$16="",H37="",N37=""),"",IF(L37="3",3*$K$14*Z37*P37*((S37)^2)*8.76,IF(L37="2",2*$K$14*Z37*P37*((S37)^2)*8.76,IF(L37="1",$K$14*Z37*P37*((S37)^2)*8.76))))</f>
        <v/>
      </c>
      <c r="AB37" s="367" t="e">
        <f>VLOOKUP(C37,$D$21:$R$35,12,FALSE)</f>
        <v>#N/A</v>
      </c>
      <c r="AC37" s="357">
        <f t="shared" ref="AC37:AC52" si="12">D37</f>
        <v>0</v>
      </c>
      <c r="AD37" s="357">
        <f t="shared" ref="AD37:AD52" si="13">M37</f>
        <v>0</v>
      </c>
      <c r="AE37" s="354"/>
    </row>
    <row r="38" spans="1:35" ht="13.5" customHeight="1" thickTop="1" thickBot="1" x14ac:dyDescent="0.3">
      <c r="A38" s="106"/>
      <c r="B38" s="640"/>
      <c r="C38" s="80"/>
      <c r="D38" s="81"/>
      <c r="E38" s="82"/>
      <c r="F38" s="45"/>
      <c r="G38" s="65"/>
      <c r="H38" s="358" t="str">
        <f>IF(AND(E38="",G38=""),"",SUM(F38:G40))</f>
        <v/>
      </c>
      <c r="I38" s="307" t="str">
        <f>IF(OR(L38="",M38=""),"",IF(L38="3",VLOOKUP(N38,'K% (Rede Convencional)'!$B$18:$H$29,5),(IF(L38="2",VLOOKUP(O38,'K% (Rede Convencional)'!$B$18:$H$29,6),(IF(L38="1",VLOOKUP(O38,'K% (Rede Convencional)'!$B$18:$H$29,7)))))))</f>
        <v/>
      </c>
      <c r="J38" s="307" t="str">
        <f>IF(OR(L38="",M38=""),"",IF(L38="3",VLOOKUP(N38,'K% (Rede Convencional)'!$B$18:$E$29,2),(IF(L38="2",VLOOKUP(O38,'K% (Rede Convencional)'!$B$18:$E$29,3),(IF(L38="1",VLOOKUP(O38,'K% (Rede Convencional)'!$B$18:$E$29,4)))))))</f>
        <v/>
      </c>
      <c r="K38" s="307" t="str">
        <f t="shared" si="4"/>
        <v/>
      </c>
      <c r="L38" s="93"/>
      <c r="M38" s="93"/>
      <c r="N38" s="91"/>
      <c r="O38" s="92"/>
      <c r="P38" s="65"/>
      <c r="Q38" s="309" t="str">
        <f t="shared" si="5"/>
        <v/>
      </c>
      <c r="R38" s="309" t="str">
        <f>IF(Q38="","",SUM($Q$20:Q38))</f>
        <v/>
      </c>
      <c r="S38" s="309" t="str">
        <f t="shared" si="9"/>
        <v/>
      </c>
      <c r="T38" s="310" t="str">
        <f>IF(OR(N38="a",O38="a"),VLOOKUP("a",'Características dos Cabos'!$D$25:$L$29,9),IF(OR(N38="b",N38="c",O38="b",O38="c"),VLOOKUP("b",'Características dos Cabos'!$D$25:$L$29,9),IF(OR(N38="d",N38="e",O38="d",O38="e"),VLOOKUP("c",'Características dos Cabos'!$D$25:$L$29,9),IF(OR(N38="f",N38="g",N38="h",O38="f",O38="g",O38="h"),VLOOKUP("d",'Características dos Cabos'!$D$25:$L$29,9),IF(OR(N38="i",N38="j",N38="l",N38="m",O38="i",O39="j",O39="l",O39="m"),VLOOKUP("e",'Características dos Cabos'!$D$25:$L$29,9),"")))))</f>
        <v/>
      </c>
      <c r="U38" s="310" t="str">
        <f>IF(OR(N38="a",O38="a"),VLOOKUP("a",'Características dos Cabos'!$D$14:$K$18,8),IF(OR(N38="b",N38="c",O38="b",O38="c"),VLOOKUP("b",'Características dos Cabos'!$D$14:$K$18,8),IF(OR(N38="d",N38="e",O38="d",O38="e"),VLOOKUP("c",'Características dos Cabos'!$D$14:$K$18,8),IF(OR(N38="f",N38="g",N38="h",O38="f",O38="g",O38="h"),VLOOKUP("d",'Características dos Cabos'!$D$14:$K$18,8),IF(OR(N38="i",N38="j",N38="l",N38="m",O38="i",O39="j",O39="l",O39="m"),VLOOKUP("e",'Características dos Cabos'!$D$14:$K$18,8),"")))))</f>
        <v/>
      </c>
      <c r="V38" s="310" t="str">
        <f t="shared" si="6"/>
        <v/>
      </c>
      <c r="W38" s="309" t="str">
        <f t="shared" si="7"/>
        <v/>
      </c>
      <c r="X38" s="359" t="str">
        <f>IF(OR(N38="a",O38="a"),VLOOKUP("a",'Características dos Cabos'!$D$25:$L$29,3),IF(OR(N38="b",N38="c",O38="b",O38="c"),VLOOKUP("b",'Características dos Cabos'!$D$25:$L$29,3),IF(OR(N38="d",N38="e",O38="d",O38="e"),VLOOKUP("c",'Características dos Cabos'!$D$25:$L$29,3),IF(OR(N38="f",N38="g",N38="h",O38="f",O38="g",O38="h"),VLOOKUP("d",'Características dos Cabos'!$D$25:$L$29,3),IF(OR(N38="i",N38="j",N38="l",N38="m",O38="i",O38="j",O38="l",O38="m"),VLOOKUP("e",'Características dos Cabos'!$D$25:$L$29,3),"")))))</f>
        <v/>
      </c>
      <c r="Y38" s="359" t="str">
        <f>IF(OR(N38="a",O38="a"),VLOOKUP("a",'Características dos Cabos'!$D$14:$K$18,4),IF(OR(N38="b",N38="c",O38="b",O38="c"),VLOOKUP("b",'Características dos Cabos'!$D$14:$K$18,4),IF(OR(N38="d",N38="e",O38="d",O38="e"),VLOOKUP("c",'Características dos Cabos'!$D$14:$K$18,4),IF(OR(N38="f",N38="g",N38="h",O38="f",O38="g",O38="h"),VLOOKUP("d",'Características dos Cabos'!$D$14:$K$18,4),IF(OR(N38="i",N38="j",N38="l",N38="m",O38="i",O38="j",O38="l",O38="m"),VLOOKUP("e",'Características dos Cabos'!$D$14:$K$18,4),"")))))</f>
        <v/>
      </c>
      <c r="Z38" s="310" t="str">
        <f t="shared" si="8"/>
        <v/>
      </c>
      <c r="AA38" s="311" t="str">
        <f t="shared" si="11"/>
        <v/>
      </c>
      <c r="AB38" s="354"/>
      <c r="AC38" s="357">
        <f t="shared" si="12"/>
        <v>0</v>
      </c>
      <c r="AD38" s="357">
        <f t="shared" si="13"/>
        <v>0</v>
      </c>
      <c r="AE38" s="354"/>
    </row>
    <row r="39" spans="1:35" ht="13.5" customHeight="1" thickTop="1" thickBot="1" x14ac:dyDescent="0.3">
      <c r="A39" s="106"/>
      <c r="B39" s="640"/>
      <c r="C39" s="80"/>
      <c r="D39" s="81"/>
      <c r="E39" s="82"/>
      <c r="F39" s="45"/>
      <c r="G39" s="65"/>
      <c r="H39" s="358" t="str">
        <f>IF(AND(E39="",G39=""),"",SUM(F39:G40))</f>
        <v/>
      </c>
      <c r="I39" s="307" t="str">
        <f>IF(OR(L39="",M39=""),"",IF(L39="3",VLOOKUP(N39,'K% (Rede Convencional)'!$B$18:$H$29,5),(IF(L39="2",VLOOKUP(O39,'K% (Rede Convencional)'!$B$18:$H$29,6),(IF(L39="1",VLOOKUP(O39,'K% (Rede Convencional)'!$B$18:$H$29,7)))))))</f>
        <v/>
      </c>
      <c r="J39" s="307" t="str">
        <f>IF(OR(L39="",M39=""),"",IF(L39="3",VLOOKUP(N39,'K% (Rede Convencional)'!$B$18:$E$29,2),(IF(L39="2",VLOOKUP(O39,'K% (Rede Convencional)'!$B$18:$E$29,3),(IF(L39="1",VLOOKUP(O39,'K% (Rede Convencional)'!$B$18:$E$29,4)))))))</f>
        <v/>
      </c>
      <c r="K39" s="307" t="str">
        <f t="shared" si="4"/>
        <v/>
      </c>
      <c r="L39" s="93"/>
      <c r="M39" s="93"/>
      <c r="N39" s="91"/>
      <c r="O39" s="92"/>
      <c r="P39" s="65"/>
      <c r="Q39" s="309" t="str">
        <f t="shared" si="5"/>
        <v/>
      </c>
      <c r="R39" s="309" t="str">
        <f>IF(Q39="","",SUM($Q$20:Q39))</f>
        <v/>
      </c>
      <c r="S39" s="309" t="str">
        <f t="shared" si="9"/>
        <v/>
      </c>
      <c r="T39" s="310" t="str">
        <f>IF(OR(N39="a",O39="a"),VLOOKUP("a",'Características dos Cabos'!$D$25:$L$29,9),IF(OR(N39="b",N39="c",O39="b",O39="c"),VLOOKUP("b",'Características dos Cabos'!$D$25:$L$29,9),IF(OR(N39="d",N39="e",O39="d",O39="e"),VLOOKUP("c",'Características dos Cabos'!$D$25:$L$29,9),IF(OR(N39="f",N39="g",N39="h",O39="f",O39="g",O39="h"),VLOOKUP("d",'Características dos Cabos'!$D$25:$L$29,9),IF(OR(N39="i",N39="j",N39="l",N39="m",O39="i",O40="j",O40="l",O40="m"),VLOOKUP("e",'Características dos Cabos'!$D$25:$L$29,9),"")))))</f>
        <v/>
      </c>
      <c r="U39" s="310" t="str">
        <f>IF(OR(N39="a",O39="a"),VLOOKUP("a",'Características dos Cabos'!$D$14:$K$18,8),IF(OR(N39="b",N39="c",O39="b",O39="c"),VLOOKUP("b",'Características dos Cabos'!$D$14:$K$18,8),IF(OR(N39="d",N39="e",O39="d",O39="e"),VLOOKUP("c",'Características dos Cabos'!$D$14:$K$18,8),IF(OR(N39="f",N39="g",N39="h",O39="f",O39="g",O39="h"),VLOOKUP("d",'Características dos Cabos'!$D$14:$K$18,8),IF(OR(N39="i",N39="j",N39="l",N39="m",O39="i",O40="j",O40="l",O40="m"),VLOOKUP("e",'Características dos Cabos'!$D$14:$K$18,8),"")))))</f>
        <v/>
      </c>
      <c r="V39" s="310" t="str">
        <f t="shared" si="6"/>
        <v/>
      </c>
      <c r="W39" s="309" t="str">
        <f t="shared" si="7"/>
        <v/>
      </c>
      <c r="X39" s="359" t="str">
        <f>IF(OR(N39="a",O39="a"),VLOOKUP("a",'Características dos Cabos'!$D$25:$L$29,3),IF(OR(N39="b",N39="c",O39="b",O39="c"),VLOOKUP("b",'Características dos Cabos'!$D$25:$L$29,3),IF(OR(N39="d",N39="e",O39="d",O39="e"),VLOOKUP("c",'Características dos Cabos'!$D$25:$L$29,3),IF(OR(N39="f",N39="g",N39="h",O39="f",O39="g",O39="h"),VLOOKUP("d",'Características dos Cabos'!$D$25:$L$29,3),IF(OR(N39="i",N39="j",N39="l",N39="m",O39="i",O39="j",O39="l",O39="m"),VLOOKUP("e",'Características dos Cabos'!$D$25:$L$29,3),"")))))</f>
        <v/>
      </c>
      <c r="Y39" s="359" t="str">
        <f>IF(OR(N39="a",O39="a"),VLOOKUP("a",'Características dos Cabos'!$D$14:$K$18,4),IF(OR(N39="b",N39="c",O39="b",O39="c"),VLOOKUP("b",'Características dos Cabos'!$D$14:$K$18,4),IF(OR(N39="d",N39="e",O39="d",O39="e"),VLOOKUP("c",'Características dos Cabos'!$D$14:$K$18,4),IF(OR(N39="f",N39="g",N39="h",O39="f",O39="g",O39="h"),VLOOKUP("d",'Características dos Cabos'!$D$14:$K$18,4),IF(OR(N39="i",N39="j",N39="l",N39="m",O39="i",O39="j",O39="l",O39="m"),VLOOKUP("e",'Características dos Cabos'!$D$14:$K$18,4),"")))))</f>
        <v/>
      </c>
      <c r="Z39" s="310" t="str">
        <f t="shared" si="8"/>
        <v/>
      </c>
      <c r="AA39" s="311" t="str">
        <f t="shared" si="11"/>
        <v/>
      </c>
      <c r="AB39" s="354"/>
      <c r="AC39" s="357">
        <f t="shared" si="12"/>
        <v>0</v>
      </c>
      <c r="AD39" s="357">
        <f t="shared" si="13"/>
        <v>0</v>
      </c>
      <c r="AE39" s="354"/>
    </row>
    <row r="40" spans="1:35" ht="13.5" thickTop="1" thickBot="1" x14ac:dyDescent="0.3">
      <c r="A40" s="106"/>
      <c r="B40" s="640"/>
      <c r="C40" s="83"/>
      <c r="D40" s="84"/>
      <c r="E40" s="85"/>
      <c r="F40" s="45"/>
      <c r="G40" s="66"/>
      <c r="H40" s="360" t="str">
        <f>IF(AND(E40="",G40=""),"",SUM(F40:G40))</f>
        <v/>
      </c>
      <c r="I40" s="329" t="str">
        <f>IF(OR(L40="",M40=""),"",IF(L40="3",VLOOKUP(N40,'K% (Rede Convencional)'!$B$18:$H$29,5),(IF(L40="2",VLOOKUP(O40,'K% (Rede Convencional)'!$B$18:$H$29,6),(IF(L40="1",VLOOKUP(O40,'K% (Rede Convencional)'!$B$18:$H$29,7)))))))</f>
        <v/>
      </c>
      <c r="J40" s="329" t="str">
        <f>IF(OR(L40="",M40=""),"",IF(L40="3",VLOOKUP(N40,'K% (Rede Convencional)'!$B$18:$E$29,2),(IF(L40="2",VLOOKUP(O40,'K% (Rede Convencional)'!$B$18:$E$29,3),(IF(L40="1",VLOOKUP(O40,'K% (Rede Convencional)'!$B$18:$E$29,4)))))))</f>
        <v/>
      </c>
      <c r="K40" s="329" t="str">
        <f t="shared" si="4"/>
        <v/>
      </c>
      <c r="L40" s="94"/>
      <c r="M40" s="94"/>
      <c r="N40" s="91">
        <f t="shared" si="10"/>
        <v>0</v>
      </c>
      <c r="O40" s="92" t="str">
        <f>IF(M40="","",IF(M40="4 (4)","a",IF(OR(M40="2 (4)",M40="2 (2)"),VLOOKUP(M40,mT!$AF$21:$AG$22,2,FALSE),IF(OR(M40="1/0 (4)",M40="1/0 (2)"),VLOOKUP(M40,mT!$AF$24:$AG$25,2,FALSE),IF(OR(M40="4/0 (4)",M40="4/0 (2)",M40="4/0 (1/0)"),VLOOKUP(M40,mT!$AF$27:$AG$29,2,FALSE),IF(OR(M40="336,4 (4)",M40="336,4 (2)",M40="336,4 (1/0)",M40="336,4 (4/0)"),VLOOKUP(M40,mT!$AF$31:$AG$34,2,FALSE),""))))))</f>
        <v/>
      </c>
      <c r="P40" s="66"/>
      <c r="Q40" s="331" t="str">
        <f t="shared" si="5"/>
        <v/>
      </c>
      <c r="R40" s="331" t="str">
        <f>IF(Q40="","",SUM($Q$20:Q40))</f>
        <v/>
      </c>
      <c r="S40" s="331" t="str">
        <f t="shared" si="9"/>
        <v/>
      </c>
      <c r="T40" s="332" t="str">
        <f>IF(OR(N40="a",O40="a"),VLOOKUP("a",'Características dos Cabos'!$D$25:$L$29,9),IF(OR(N40="b",N40="c",O40="b",O40="c"),VLOOKUP("b",'Características dos Cabos'!$D$25:$L$29,9),IF(OR(N40="d",N40="e",O40="d",O40="e"),VLOOKUP("c",'Características dos Cabos'!$D$25:$L$29,9),IF(OR(N40="f",N40="g",N40="h",O40="f",O40="g",O40="h"),VLOOKUP("d",'Características dos Cabos'!$D$25:$L$29,9),IF(OR(N40="i",N40="j",N40="l",N40="m",O40="i",O41="j",O41="l",O41="m"),VLOOKUP("e",'Características dos Cabos'!$D$25:$L$29,9),"")))))</f>
        <v/>
      </c>
      <c r="U40" s="332" t="str">
        <f>IF(OR(N40="a",O40="a"),VLOOKUP("a",'Características dos Cabos'!$D$14:$K$18,8),IF(OR(N40="b",N40="c",O40="b",O40="c"),VLOOKUP("b",'Características dos Cabos'!$D$14:$K$18,8),IF(OR(N40="d",N40="e",O40="d",O40="e"),VLOOKUP("c",'Características dos Cabos'!$D$14:$K$18,8),IF(OR(N40="f",N40="g",N40="h",O40="f",O40="g",O40="h"),VLOOKUP("d",'Características dos Cabos'!$D$14:$K$18,8),IF(OR(N40="i",N40="j",N40="l",N40="m",O40="i",O41="j",O41="l",O41="m"),VLOOKUP("e",'Características dos Cabos'!$D$14:$K$18,8),"")))))</f>
        <v/>
      </c>
      <c r="V40" s="332" t="str">
        <f t="shared" si="6"/>
        <v/>
      </c>
      <c r="W40" s="331" t="str">
        <f t="shared" si="7"/>
        <v/>
      </c>
      <c r="X40" s="361" t="str">
        <f>IF(OR(N40="a",O40="a"),VLOOKUP("a",'Características dos Cabos'!$D$25:$L$29,3),IF(OR(N40="b",N40="c",O40="b",O40="c"),VLOOKUP("b",'Características dos Cabos'!$D$25:$L$29,3),IF(OR(N40="d",N40="e",O40="d",O40="e"),VLOOKUP("c",'Características dos Cabos'!$D$25:$L$29,3),IF(OR(N40="f",N40="g",N40="h",O40="f",O40="g",O40="h"),VLOOKUP("d",'Características dos Cabos'!$D$25:$L$29,3),IF(OR(N40="i",N40="j",N40="l",N40="m",O40="i",O40="j",O40="l",O40="m"),VLOOKUP("e",'Características dos Cabos'!$D$25:$L$29,3),"")))))</f>
        <v/>
      </c>
      <c r="Y40" s="361" t="str">
        <f>IF(OR(N40="a",O40="a"),VLOOKUP("a",'Características dos Cabos'!$D$14:$K$18,4),IF(OR(N40="b",N40="c",O40="b",O40="c"),VLOOKUP("b",'Características dos Cabos'!$D$14:$K$18,4),IF(OR(N40="d",N40="e",O40="d",O40="e"),VLOOKUP("c",'Características dos Cabos'!$D$14:$K$18,4),IF(OR(N40="f",N40="g",N40="h",O40="f",O40="g",O40="h"),VLOOKUP("d",'Características dos Cabos'!$D$14:$K$18,4),IF(OR(N40="i",N40="j",N40="l",N40="m",O40="i",O40="j",O40="l",O40="m"),VLOOKUP("e",'Características dos Cabos'!$D$14:$K$18,4),"")))))</f>
        <v/>
      </c>
      <c r="Z40" s="332" t="str">
        <f t="shared" si="8"/>
        <v/>
      </c>
      <c r="AA40" s="333" t="str">
        <f t="shared" si="11"/>
        <v/>
      </c>
      <c r="AB40" s="354"/>
      <c r="AC40" s="357">
        <f t="shared" si="12"/>
        <v>0</v>
      </c>
      <c r="AD40" s="357">
        <f t="shared" si="13"/>
        <v>0</v>
      </c>
      <c r="AE40" s="354"/>
    </row>
    <row r="41" spans="1:35" ht="14.25" customHeight="1" thickTop="1" thickBot="1" x14ac:dyDescent="0.3">
      <c r="A41" s="106"/>
      <c r="B41" s="639" t="s">
        <v>140</v>
      </c>
      <c r="C41" s="69"/>
      <c r="D41" s="86"/>
      <c r="E41" s="78"/>
      <c r="F41" s="45"/>
      <c r="G41" s="79"/>
      <c r="H41" s="355" t="str">
        <f>IF(AND(E41="",G41=""),"",SUM(F41:G44))</f>
        <v/>
      </c>
      <c r="I41" s="321" t="str">
        <f>IF(OR(L41="",M41=""),"",IF(L41="3",VLOOKUP(N41,'K% (Rede Convencional)'!$B$18:$H$29,5),(IF(L41="2",VLOOKUP(O41,'K% (Rede Convencional)'!$B$18:$H$29,6),(IF(L41="1",VLOOKUP(O41,'K% (Rede Convencional)'!$B$18:$H$29,7)))))))</f>
        <v/>
      </c>
      <c r="J41" s="321" t="str">
        <f>IF(OR(L41="",M41=""),"",IF(L41="3",VLOOKUP(N41,'K% (Rede Convencional)'!$B$18:$E$29,2),(IF(L41="2",VLOOKUP(O41,'K% (Rede Convencional)'!$B$18:$E$29,3),(IF(L41="1",VLOOKUP(O41,'K% (Rede Convencional)'!$B$18:$E$29,4)))))))</f>
        <v/>
      </c>
      <c r="K41" s="321" t="str">
        <f t="shared" si="4"/>
        <v/>
      </c>
      <c r="L41" s="95"/>
      <c r="M41" s="95"/>
      <c r="N41" s="91">
        <f t="shared" si="10"/>
        <v>0</v>
      </c>
      <c r="O41" s="92" t="str">
        <f>IF(M41="","",IF(M41="4 (4)","a",IF(OR(M41="2 (4)",M41="2 (2)"),VLOOKUP(M41,mT!$AF$21:$AG$22,2,FALSE),IF(OR(M41="1/0 (4)",M41="1/0 (2)"),VLOOKUP(M41,mT!$AF$24:$AG$25,2,FALSE),IF(OR(M41="4/0 (4)",M41="4/0 (2)",M41="4/0 (1/0)"),VLOOKUP(M41,mT!$AF$27:$AG$29,2,FALSE),IF(OR(M41="336,4 (4)",M41="336,4 (2)",M41="336,4 (1/0)",M41="336,4 (4/0)"),VLOOKUP(M41,mT!$AF$31:$AG$34,2,FALSE),""))))))</f>
        <v/>
      </c>
      <c r="P41" s="79"/>
      <c r="Q41" s="322" t="str">
        <f t="shared" si="5"/>
        <v/>
      </c>
      <c r="R41" s="322" t="str">
        <f>IF(Q41="","",SUM($Q$20:Q41))</f>
        <v/>
      </c>
      <c r="S41" s="322" t="str">
        <f t="shared" si="9"/>
        <v/>
      </c>
      <c r="T41" s="323" t="str">
        <f>IF(OR(N41="a",O41="a"),VLOOKUP("a",'Características dos Cabos'!$D$25:$L$29,9),IF(OR(N41="b",N41="c",O41="b",O41="c"),VLOOKUP("b",'Características dos Cabos'!$D$25:$L$29,9),IF(OR(N41="d",N41="e",O41="d",O41="e"),VLOOKUP("c",'Características dos Cabos'!$D$25:$L$29,9),IF(OR(N41="f",N41="g",N41="h",O41="f",O41="g",O41="h"),VLOOKUP("d",'Características dos Cabos'!$D$25:$L$29,9),IF(OR(N41="i",N41="j",N41="l",N41="m",O41="i",O42="j",O42="l",O42="m"),VLOOKUP("e",'Características dos Cabos'!$D$25:$L$29,9),"")))))</f>
        <v/>
      </c>
      <c r="U41" s="323" t="str">
        <f>IF(OR(N41="a",O41="a"),VLOOKUP("a",'Características dos Cabos'!$D$14:$K$18,8),IF(OR(N41="b",N41="c",O41="b",O41="c"),VLOOKUP("b",'Características dos Cabos'!$D$14:$K$18,8),IF(OR(N41="d",N41="e",O41="d",O41="e"),VLOOKUP("c",'Características dos Cabos'!$D$14:$K$18,8),IF(OR(N41="f",N41="g",N41="h",O41="f",O41="g",O41="h"),VLOOKUP("d",'Características dos Cabos'!$D$14:$K$18,8),IF(OR(N41="i",N41="j",N41="l",N41="m",O41="i",O42="j",O42="l",O42="m"),VLOOKUP("e",'Características dos Cabos'!$D$14:$K$18,8),"")))))</f>
        <v/>
      </c>
      <c r="V41" s="323" t="str">
        <f t="shared" si="6"/>
        <v/>
      </c>
      <c r="W41" s="322" t="str">
        <f t="shared" si="7"/>
        <v/>
      </c>
      <c r="X41" s="356" t="str">
        <f>IF(OR(N41="a",O41="a"),VLOOKUP("a",'Características dos Cabos'!$D$25:$L$29,3),IF(OR(N41="b",N41="c",O41="b",O41="c"),VLOOKUP("b",'Características dos Cabos'!$D$25:$L$29,3),IF(OR(N41="d",N41="e",O41="d",O41="e"),VLOOKUP("c",'Características dos Cabos'!$D$25:$L$29,3),IF(OR(N41="f",N41="g",N41="h",O41="f",O41="g",O41="h"),VLOOKUP("d",'Características dos Cabos'!$D$25:$L$29,3),IF(OR(N41="i",N41="j",N41="l",N41="m",O41="i",O41="j",O41="l",O41="m"),VLOOKUP("e",'Características dos Cabos'!$D$25:$L$29,3),"")))))</f>
        <v/>
      </c>
      <c r="Y41" s="356" t="str">
        <f>IF(OR(N41="a",O41="a"),VLOOKUP("a",'Características dos Cabos'!$D$14:$K$18,4),IF(OR(N41="b",N41="c",O41="b",O41="c"),VLOOKUP("b",'Características dos Cabos'!$D$14:$K$18,4),IF(OR(N41="d",N41="e",O41="d",O41="e"),VLOOKUP("c",'Características dos Cabos'!$D$14:$K$18,4),IF(OR(N41="f",N41="g",N41="h",O41="f",O41="g",O41="h"),VLOOKUP("d",'Características dos Cabos'!$D$14:$K$18,4),IF(OR(N41="i",N41="j",N41="l",N41="m",O41="i",O41="j",O41="l",O41="m"),VLOOKUP("e",'Características dos Cabos'!$D$14:$K$18,4),"")))))</f>
        <v/>
      </c>
      <c r="Z41" s="323" t="str">
        <f t="shared" si="8"/>
        <v/>
      </c>
      <c r="AA41" s="324" t="str">
        <f t="shared" si="11"/>
        <v/>
      </c>
      <c r="AB41" s="367" t="e">
        <f>VLOOKUP(C41,$D$21:$R$35,12,FALSE)</f>
        <v>#N/A</v>
      </c>
      <c r="AC41" s="357">
        <f t="shared" si="12"/>
        <v>0</v>
      </c>
      <c r="AD41" s="357">
        <f t="shared" si="13"/>
        <v>0</v>
      </c>
      <c r="AE41" s="354"/>
    </row>
    <row r="42" spans="1:35" ht="14.25" customHeight="1" thickTop="1" thickBot="1" x14ac:dyDescent="0.3">
      <c r="A42" s="106"/>
      <c r="B42" s="640"/>
      <c r="C42" s="80"/>
      <c r="D42" s="81"/>
      <c r="E42" s="82"/>
      <c r="F42" s="45"/>
      <c r="G42" s="65"/>
      <c r="H42" s="358" t="str">
        <f>IF(AND(E42="",G42=""),"",SUM(F42:G44))</f>
        <v/>
      </c>
      <c r="I42" s="307" t="str">
        <f>IF(OR(L42="",M42=""),"",IF(L42="3",VLOOKUP(N42,'K% (Rede Convencional)'!$B$18:$H$29,5),(IF(L42="2",VLOOKUP(O42,'K% (Rede Convencional)'!$B$18:$H$29,6),(IF(L42="1",VLOOKUP(O42,'K% (Rede Convencional)'!$B$18:$H$29,7)))))))</f>
        <v/>
      </c>
      <c r="J42" s="307" t="str">
        <f>IF(OR(L42="",M42=""),"",IF(L42="3",VLOOKUP(N42,'K% (Rede Convencional)'!$B$18:$E$29,2),(IF(L42="2",VLOOKUP(O42,'K% (Rede Convencional)'!$B$18:$E$29,3),(IF(L42="1",VLOOKUP(O42,'K% (Rede Convencional)'!$B$18:$E$29,4)))))))</f>
        <v/>
      </c>
      <c r="K42" s="307" t="str">
        <f t="shared" si="4"/>
        <v/>
      </c>
      <c r="L42" s="93"/>
      <c r="M42" s="93"/>
      <c r="N42" s="91">
        <f t="shared" si="10"/>
        <v>0</v>
      </c>
      <c r="O42" s="92" t="str">
        <f>IF(M42="","",IF(M42="4 (4)","a",IF(OR(M42="2 (4)",M42="2 (2)"),VLOOKUP(M42,mT!$AF$21:$AG$22,2,FALSE),IF(OR(M42="1/0 (4)",M42="1/0 (2)"),VLOOKUP(M42,mT!$AF$24:$AG$25,2,FALSE),IF(OR(M42="4/0 (4)",M42="4/0 (2)",M42="4/0 (1/0)"),VLOOKUP(M42,mT!$AF$27:$AG$29,2,FALSE),IF(OR(M42="336,4 (4)",M42="336,4 (2)",M42="336,4 (1/0)",M42="336,4 (4/0)"),VLOOKUP(M42,mT!$AF$31:$AG$34,2,FALSE),""))))))</f>
        <v/>
      </c>
      <c r="P42" s="65"/>
      <c r="Q42" s="309" t="str">
        <f t="shared" si="5"/>
        <v/>
      </c>
      <c r="R42" s="309" t="str">
        <f>IF(Q42="","",SUM($Q$20:Q42))</f>
        <v/>
      </c>
      <c r="S42" s="309" t="str">
        <f t="shared" si="9"/>
        <v/>
      </c>
      <c r="T42" s="310" t="str">
        <f>IF(OR(N42="a",O42="a"),VLOOKUP("a",'Características dos Cabos'!$D$25:$L$29,9),IF(OR(N42="b",N42="c",O42="b",O42="c"),VLOOKUP("b",'Características dos Cabos'!$D$25:$L$29,9),IF(OR(N42="d",N42="e",O42="d",O42="e"),VLOOKUP("c",'Características dos Cabos'!$D$25:$L$29,9),IF(OR(N42="f",N42="g",N42="h",O42="f",O42="g",O42="h"),VLOOKUP("d",'Características dos Cabos'!$D$25:$L$29,9),IF(OR(N42="i",N42="j",N42="l",N42="m",O42="i",O43="j",O43="l",O43="m"),VLOOKUP("e",'Características dos Cabos'!$D$25:$L$29,9),"")))))</f>
        <v/>
      </c>
      <c r="U42" s="310" t="str">
        <f>IF(OR(N42="a",O42="a"),VLOOKUP("a",'Características dos Cabos'!$D$14:$K$18,8),IF(OR(N42="b",N42="c",O42="b",O42="c"),VLOOKUP("b",'Características dos Cabos'!$D$14:$K$18,8),IF(OR(N42="d",N42="e",O42="d",O42="e"),VLOOKUP("c",'Características dos Cabos'!$D$14:$K$18,8),IF(OR(N42="f",N42="g",N42="h",O42="f",O42="g",O42="h"),VLOOKUP("d",'Características dos Cabos'!$D$14:$K$18,8),IF(OR(N42="i",N42="j",N42="l",N42="m",O42="i",O43="j",O43="l",O43="m"),VLOOKUP("e",'Características dos Cabos'!$D$14:$K$18,8),"")))))</f>
        <v/>
      </c>
      <c r="V42" s="310" t="str">
        <f t="shared" si="6"/>
        <v/>
      </c>
      <c r="W42" s="309" t="str">
        <f t="shared" si="7"/>
        <v/>
      </c>
      <c r="X42" s="359" t="str">
        <f>IF(OR(N42="a",O42="a"),VLOOKUP("a",'Características dos Cabos'!$D$25:$L$29,3),IF(OR(N42="b",N42="c",O42="b",O42="c"),VLOOKUP("b",'Características dos Cabos'!$D$25:$L$29,3),IF(OR(N42="d",N42="e",O42="d",O42="e"),VLOOKUP("c",'Características dos Cabos'!$D$25:$L$29,3),IF(OR(N42="f",N42="g",N42="h",O42="f",O42="g",O42="h"),VLOOKUP("d",'Características dos Cabos'!$D$25:$L$29,3),IF(OR(N42="i",N42="j",N42="l",N42="m",O42="i",O42="j",O42="l",O42="m"),VLOOKUP("e",'Características dos Cabos'!$D$25:$L$29,3),"")))))</f>
        <v/>
      </c>
      <c r="Y42" s="359" t="str">
        <f>IF(OR(N42="a",O42="a"),VLOOKUP("a",'Características dos Cabos'!$D$14:$K$18,4),IF(OR(N42="b",N42="c",O42="b",O42="c"),VLOOKUP("b",'Características dos Cabos'!$D$14:$K$18,4),IF(OR(N42="d",N42="e",O42="d",O42="e"),VLOOKUP("c",'Características dos Cabos'!$D$14:$K$18,4),IF(OR(N42="f",N42="g",N42="h",O42="f",O42="g",O42="h"),VLOOKUP("d",'Características dos Cabos'!$D$14:$K$18,4),IF(OR(N42="i",N42="j",N42="l",N42="m",O42="i",O42="j",O42="l",O42="m"),VLOOKUP("e",'Características dos Cabos'!$D$14:$K$18,4),"")))))</f>
        <v/>
      </c>
      <c r="Z42" s="310" t="str">
        <f t="shared" si="8"/>
        <v/>
      </c>
      <c r="AA42" s="311" t="str">
        <f t="shared" si="11"/>
        <v/>
      </c>
      <c r="AB42" s="354"/>
      <c r="AC42" s="357">
        <f t="shared" si="12"/>
        <v>0</v>
      </c>
      <c r="AD42" s="357">
        <f t="shared" si="13"/>
        <v>0</v>
      </c>
      <c r="AE42" s="354"/>
    </row>
    <row r="43" spans="1:35" ht="13.5" customHeight="1" thickTop="1" thickBot="1" x14ac:dyDescent="0.3">
      <c r="A43" s="106"/>
      <c r="B43" s="640"/>
      <c r="C43" s="80"/>
      <c r="D43" s="81"/>
      <c r="E43" s="82"/>
      <c r="F43" s="45"/>
      <c r="G43" s="65"/>
      <c r="H43" s="358" t="str">
        <f>IF(AND(E43="",G43=""),"",SUM(F43:G44))</f>
        <v/>
      </c>
      <c r="I43" s="307" t="str">
        <f>IF(OR(L43="",M43=""),"",IF(L43="3",VLOOKUP(N43,'K% (Rede Convencional)'!$B$18:$H$29,5),(IF(L43="2",VLOOKUP(O43,'K% (Rede Convencional)'!$B$18:$H$29,6),(IF(L43="1",VLOOKUP(O43,'K% (Rede Convencional)'!$B$18:$H$29,7)))))))</f>
        <v/>
      </c>
      <c r="J43" s="307" t="str">
        <f>IF(OR(L43="",M43=""),"",IF(L43="3",VLOOKUP(N43,'K% (Rede Convencional)'!$B$18:$E$29,2),(IF(L43="2",VLOOKUP(O43,'K% (Rede Convencional)'!$B$18:$E$29,3),(IF(L43="1",VLOOKUP(O43,'K% (Rede Convencional)'!$B$18:$E$29,4)))))))</f>
        <v/>
      </c>
      <c r="K43" s="307" t="str">
        <f t="shared" si="4"/>
        <v/>
      </c>
      <c r="L43" s="93"/>
      <c r="M43" s="93"/>
      <c r="N43" s="91">
        <f t="shared" si="10"/>
        <v>0</v>
      </c>
      <c r="O43" s="92" t="str">
        <f>IF(M43="","",IF(M43="4 (4)","a",IF(OR(M43="2 (4)",M43="2 (2)"),VLOOKUP(M43,mT!$AF$21:$AG$22,2,FALSE),IF(OR(M43="1/0 (4)",M43="1/0 (2)"),VLOOKUP(M43,mT!$AF$24:$AG$25,2,FALSE),IF(OR(M43="4/0 (4)",M43="4/0 (2)",M43="4/0 (1/0)"),VLOOKUP(M43,mT!$AF$27:$AG$29,2,FALSE),IF(OR(M43="336,4 (4)",M43="336,4 (2)",M43="336,4 (1/0)",M43="336,4 (4/0)"),VLOOKUP(M43,mT!$AF$31:$AG$34,2,FALSE),""))))))</f>
        <v/>
      </c>
      <c r="P43" s="65"/>
      <c r="Q43" s="309" t="str">
        <f t="shared" si="5"/>
        <v/>
      </c>
      <c r="R43" s="309" t="str">
        <f>IF(Q43="","",SUM($Q$20:Q43))</f>
        <v/>
      </c>
      <c r="S43" s="309" t="str">
        <f t="shared" si="9"/>
        <v/>
      </c>
      <c r="T43" s="310" t="str">
        <f>IF(OR(N43="a",O43="a"),VLOOKUP("a",'Características dos Cabos'!$D$25:$L$29,9),IF(OR(N43="b",N43="c",O43="b",O43="c"),VLOOKUP("b",'Características dos Cabos'!$D$25:$L$29,9),IF(OR(N43="d",N43="e",O43="d",O43="e"),VLOOKUP("c",'Características dos Cabos'!$D$25:$L$29,9),IF(OR(N43="f",N43="g",N43="h",O43="f",O43="g",O43="h"),VLOOKUP("d",'Características dos Cabos'!$D$25:$L$29,9),IF(OR(N43="i",N43="j",N43="l",N43="m",O43="i",O44="j",O44="l",O44="m"),VLOOKUP("e",'Características dos Cabos'!$D$25:$L$29,9),"")))))</f>
        <v/>
      </c>
      <c r="U43" s="310" t="str">
        <f>IF(OR(N43="a",O43="a"),VLOOKUP("a",'Características dos Cabos'!$D$14:$K$18,8),IF(OR(N43="b",N43="c",O43="b",O43="c"),VLOOKUP("b",'Características dos Cabos'!$D$14:$K$18,8),IF(OR(N43="d",N43="e",O43="d",O43="e"),VLOOKUP("c",'Características dos Cabos'!$D$14:$K$18,8),IF(OR(N43="f",N43="g",N43="h",O43="f",O43="g",O43="h"),VLOOKUP("d",'Características dos Cabos'!$D$14:$K$18,8),IF(OR(N43="i",N43="j",N43="l",N43="m",O43="i",O44="j",O44="l",O44="m"),VLOOKUP("e",'Características dos Cabos'!$D$14:$K$18,8),"")))))</f>
        <v/>
      </c>
      <c r="V43" s="310" t="str">
        <f t="shared" si="6"/>
        <v/>
      </c>
      <c r="W43" s="309" t="str">
        <f t="shared" si="7"/>
        <v/>
      </c>
      <c r="X43" s="359" t="str">
        <f>IF(OR(N43="a",O43="a"),VLOOKUP("a",'Características dos Cabos'!$D$25:$L$29,3),IF(OR(N43="b",N43="c",O43="b",O43="c"),VLOOKUP("b",'Características dos Cabos'!$D$25:$L$29,3),IF(OR(N43="d",N43="e",O43="d",O43="e"),VLOOKUP("c",'Características dos Cabos'!$D$25:$L$29,3),IF(OR(N43="f",N43="g",N43="h",O43="f",O43="g",O43="h"),VLOOKUP("d",'Características dos Cabos'!$D$25:$L$29,3),IF(OR(N43="i",N43="j",N43="l",N43="m",O43="i",O43="j",O43="l",O43="m"),VLOOKUP("e",'Características dos Cabos'!$D$25:$L$29,3),"")))))</f>
        <v/>
      </c>
      <c r="Y43" s="359" t="str">
        <f>IF(OR(N43="a",O43="a"),VLOOKUP("a",'Características dos Cabos'!$D$14:$K$18,4),IF(OR(N43="b",N43="c",O43="b",O43="c"),VLOOKUP("b",'Características dos Cabos'!$D$14:$K$18,4),IF(OR(N43="d",N43="e",O43="d",O43="e"),VLOOKUP("c",'Características dos Cabos'!$D$14:$K$18,4),IF(OR(N43="f",N43="g",N43="h",O43="f",O43="g",O43="h"),VLOOKUP("d",'Características dos Cabos'!$D$14:$K$18,4),IF(OR(N43="i",N43="j",N43="l",N43="m",O43="i",O43="j",O43="l",O43="m"),VLOOKUP("e",'Características dos Cabos'!$D$14:$K$18,4),"")))))</f>
        <v/>
      </c>
      <c r="Z43" s="310" t="str">
        <f t="shared" si="8"/>
        <v/>
      </c>
      <c r="AA43" s="311" t="str">
        <f t="shared" si="11"/>
        <v/>
      </c>
      <c r="AB43" s="354"/>
      <c r="AC43" s="357">
        <f t="shared" si="12"/>
        <v>0</v>
      </c>
      <c r="AD43" s="357">
        <f t="shared" si="13"/>
        <v>0</v>
      </c>
      <c r="AE43" s="354"/>
    </row>
    <row r="44" spans="1:35" ht="13.5" customHeight="1" thickTop="1" thickBot="1" x14ac:dyDescent="0.3">
      <c r="A44" s="106"/>
      <c r="B44" s="640"/>
      <c r="C44" s="83"/>
      <c r="D44" s="84"/>
      <c r="E44" s="85"/>
      <c r="F44" s="45"/>
      <c r="G44" s="66"/>
      <c r="H44" s="360" t="str">
        <f>IF(AND(E44="",G44=""),"",SUM(F44:G44))</f>
        <v/>
      </c>
      <c r="I44" s="329" t="str">
        <f>IF(OR(L44="",M44=""),"",IF(L44="3",VLOOKUP(N44,'K% (Rede Convencional)'!$B$18:$H$29,5),(IF(L44="2",VLOOKUP(O44,'K% (Rede Convencional)'!$B$18:$H$29,6),(IF(L44="1",VLOOKUP(O44,'K% (Rede Convencional)'!$B$18:$H$29,7)))))))</f>
        <v/>
      </c>
      <c r="J44" s="329" t="str">
        <f>IF(OR(L44="",M44=""),"",IF(L44="3",VLOOKUP(N44,'K% (Rede Convencional)'!$B$18:$E$29,2),(IF(L44="2",VLOOKUP(O44,'K% (Rede Convencional)'!$B$18:$E$29,3),(IF(L44="1",VLOOKUP(O44,'K% (Rede Convencional)'!$B$18:$E$29,4)))))))</f>
        <v/>
      </c>
      <c r="K44" s="329" t="str">
        <f t="shared" si="4"/>
        <v/>
      </c>
      <c r="L44" s="94"/>
      <c r="M44" s="94"/>
      <c r="N44" s="91">
        <f t="shared" si="10"/>
        <v>0</v>
      </c>
      <c r="O44" s="92" t="str">
        <f>IF(M44="","",IF(M44="4 (4)","a",IF(OR(M44="2 (4)",M44="2 (2)"),VLOOKUP(M44,mT!$AF$21:$AG$22,2,FALSE),IF(OR(M44="1/0 (4)",M44="1/0 (2)"),VLOOKUP(M44,mT!$AF$24:$AG$25,2,FALSE),IF(OR(M44="4/0 (4)",M44="4/0 (2)",M44="4/0 (1/0)"),VLOOKUP(M44,mT!$AF$27:$AG$29,2,FALSE),IF(OR(M44="336,4 (4)",M44="336,4 (2)",M44="336,4 (1/0)",M44="336,4 (4/0)"),VLOOKUP(M44,mT!$AF$31:$AG$34,2,FALSE),""))))))</f>
        <v/>
      </c>
      <c r="P44" s="66"/>
      <c r="Q44" s="331" t="str">
        <f t="shared" si="5"/>
        <v/>
      </c>
      <c r="R44" s="331" t="str">
        <f>IF(Q44="","",SUM($Q$20:Q44))</f>
        <v/>
      </c>
      <c r="S44" s="331" t="str">
        <f t="shared" si="9"/>
        <v/>
      </c>
      <c r="T44" s="332" t="str">
        <f>IF(OR(N44="a",O44="a"),VLOOKUP("a",'Características dos Cabos'!$D$25:$L$29,9),IF(OR(N44="b",N44="c",O44="b",O44="c"),VLOOKUP("b",'Características dos Cabos'!$D$25:$L$29,9),IF(OR(N44="d",N44="e",O44="d",O44="e"),VLOOKUP("c",'Características dos Cabos'!$D$25:$L$29,9),IF(OR(N44="f",N44="g",N44="h",O44="f",O44="g",O44="h"),VLOOKUP("d",'Características dos Cabos'!$D$25:$L$29,9),IF(OR(N44="i",N44="j",N44="l",N44="m",O44="i",O45="j",O45="l",O45="m"),VLOOKUP("e",'Características dos Cabos'!$D$25:$L$29,9),"")))))</f>
        <v/>
      </c>
      <c r="U44" s="332" t="str">
        <f>IF(OR(N44="a",O44="a"),VLOOKUP("a",'Características dos Cabos'!$D$14:$K$18,8),IF(OR(N44="b",N44="c",O44="b",O44="c"),VLOOKUP("b",'Características dos Cabos'!$D$14:$K$18,8),IF(OR(N44="d",N44="e",O44="d",O44="e"),VLOOKUP("c",'Características dos Cabos'!$D$14:$K$18,8),IF(OR(N44="f",N44="g",N44="h",O44="f",O44="g",O44="h"),VLOOKUP("d",'Características dos Cabos'!$D$14:$K$18,8),IF(OR(N44="i",N44="j",N44="l",N44="m",O44="i",O45="j",O45="l",O45="m"),VLOOKUP("e",'Características dos Cabos'!$D$14:$K$18,8),"")))))</f>
        <v/>
      </c>
      <c r="V44" s="332" t="str">
        <f t="shared" si="6"/>
        <v/>
      </c>
      <c r="W44" s="331" t="str">
        <f t="shared" si="7"/>
        <v/>
      </c>
      <c r="X44" s="361" t="str">
        <f>IF(OR(N44="a",O44="a"),VLOOKUP("a",'Características dos Cabos'!$D$25:$L$29,3),IF(OR(N44="b",N44="c",O44="b",O44="c"),VLOOKUP("b",'Características dos Cabos'!$D$25:$L$29,3),IF(OR(N44="d",N44="e",O44="d",O44="e"),VLOOKUP("c",'Características dos Cabos'!$D$25:$L$29,3),IF(OR(N44="f",N44="g",N44="h",O44="f",O44="g",O44="h"),VLOOKUP("d",'Características dos Cabos'!$D$25:$L$29,3),IF(OR(N44="i",N44="j",N44="l",N44="m",O44="i",O44="j",O44="l",O44="m"),VLOOKUP("e",'Características dos Cabos'!$D$25:$L$29,3),"")))))</f>
        <v/>
      </c>
      <c r="Y44" s="361" t="str">
        <f>IF(OR(N44="a",O44="a"),VLOOKUP("a",'Características dos Cabos'!$D$14:$K$18,4),IF(OR(N44="b",N44="c",O44="b",O44="c"),VLOOKUP("b",'Características dos Cabos'!$D$14:$K$18,4),IF(OR(N44="d",N44="e",O44="d",O44="e"),VLOOKUP("c",'Características dos Cabos'!$D$14:$K$18,4),IF(OR(N44="f",N44="g",N44="h",O44="f",O44="g",O44="h"),VLOOKUP("d",'Características dos Cabos'!$D$14:$K$18,4),IF(OR(N44="i",N44="j",N44="l",N44="m",O44="i",O44="j",O44="l",O44="m"),VLOOKUP("e",'Características dos Cabos'!$D$14:$K$18,4),"")))))</f>
        <v/>
      </c>
      <c r="Z44" s="332" t="str">
        <f t="shared" si="8"/>
        <v/>
      </c>
      <c r="AA44" s="333" t="str">
        <f t="shared" si="11"/>
        <v/>
      </c>
      <c r="AB44" s="354"/>
      <c r="AC44" s="357">
        <f t="shared" si="12"/>
        <v>0</v>
      </c>
      <c r="AD44" s="357">
        <f t="shared" si="13"/>
        <v>0</v>
      </c>
      <c r="AE44" s="354"/>
    </row>
    <row r="45" spans="1:35" ht="13.5" customHeight="1" thickTop="1" thickBot="1" x14ac:dyDescent="0.3">
      <c r="A45" s="106"/>
      <c r="B45" s="639" t="s">
        <v>141</v>
      </c>
      <c r="C45" s="69"/>
      <c r="D45" s="86"/>
      <c r="E45" s="78"/>
      <c r="F45" s="45"/>
      <c r="G45" s="79"/>
      <c r="H45" s="355" t="str">
        <f>IF(AND(E45="",G45=""),"",SUM(F45:G48))</f>
        <v/>
      </c>
      <c r="I45" s="321" t="str">
        <f>IF(OR(L45="",M45=""),"",IF(L45="3",VLOOKUP(N45,'K% (Rede Convencional)'!$B$18:$H$29,5),(IF(L45="2",VLOOKUP(O45,'K% (Rede Convencional)'!$B$18:$H$29,6),(IF(L45="1",VLOOKUP(O45,'K% (Rede Convencional)'!$B$18:$H$29,7)))))))</f>
        <v/>
      </c>
      <c r="J45" s="321" t="str">
        <f>IF(OR(L45="",M45=""),"",IF(L45="3",VLOOKUP(N45,'K% (Rede Convencional)'!$B$18:$E$29,2),(IF(L45="2",VLOOKUP(O45,'K% (Rede Convencional)'!$B$18:$E$29,3),(IF(L45="1",VLOOKUP(O45,'K% (Rede Convencional)'!$B$18:$E$29,4)))))))</f>
        <v/>
      </c>
      <c r="K45" s="321" t="str">
        <f t="shared" si="4"/>
        <v/>
      </c>
      <c r="L45" s="95"/>
      <c r="M45" s="95"/>
      <c r="N45" s="91">
        <f t="shared" si="10"/>
        <v>0</v>
      </c>
      <c r="O45" s="92" t="str">
        <f>IF(M45="","",IF(M45="4 (4)","a",IF(OR(M45="2 (4)",M45="2 (2)"),VLOOKUP(M45,mT!$AF$21:$AG$22,2,FALSE),IF(OR(M45="1/0 (4)",M45="1/0 (2)"),VLOOKUP(M45,mT!$AF$24:$AG$25,2,FALSE),IF(OR(M45="4/0 (4)",M45="4/0 (2)",M45="4/0 (1/0)"),VLOOKUP(M45,mT!$AF$27:$AG$29,2,FALSE),IF(OR(M45="336,4 (4)",M45="336,4 (2)",M45="336,4 (1/0)",M45="336,4 (4/0)"),VLOOKUP(M45,mT!$AF$31:$AG$34,2,FALSE),""))))))</f>
        <v/>
      </c>
      <c r="P45" s="79"/>
      <c r="Q45" s="322" t="str">
        <f t="shared" si="5"/>
        <v/>
      </c>
      <c r="R45" s="322" t="str">
        <f>IF(Q45="","",SUM($Q$20:Q45))</f>
        <v/>
      </c>
      <c r="S45" s="322" t="str">
        <f t="shared" si="9"/>
        <v/>
      </c>
      <c r="T45" s="323" t="str">
        <f>IF(OR(N45="a",O45="a"),VLOOKUP("a",'Características dos Cabos'!$D$25:$L$29,9),IF(OR(N45="b",N45="c",O45="b",O45="c"),VLOOKUP("b",'Características dos Cabos'!$D$25:$L$29,9),IF(OR(N45="d",N45="e",O45="d",O45="e"),VLOOKUP("c",'Características dos Cabos'!$D$25:$L$29,9),IF(OR(N45="f",N45="g",N45="h",O45="f",O45="g",O45="h"),VLOOKUP("d",'Características dos Cabos'!$D$25:$L$29,9),IF(OR(N45="i",N45="j",N45="l",N45="m",O45="i",O46="j",O46="l",O46="m"),VLOOKUP("e",'Características dos Cabos'!$D$25:$L$29,9),"")))))</f>
        <v/>
      </c>
      <c r="U45" s="323" t="str">
        <f>IF(OR(N45="a",O45="a"),VLOOKUP("a",'Características dos Cabos'!$D$14:$K$18,8),IF(OR(N45="b",N45="c",O45="b",O45="c"),VLOOKUP("b",'Características dos Cabos'!$D$14:$K$18,8),IF(OR(N45="d",N45="e",O45="d",O45="e"),VLOOKUP("c",'Características dos Cabos'!$D$14:$K$18,8),IF(OR(N45="f",N45="g",N45="h",O45="f",O45="g",O45="h"),VLOOKUP("d",'Características dos Cabos'!$D$14:$K$18,8),IF(OR(N45="i",N45="j",N45="l",N45="m",O45="i",O46="j",O46="l",O46="m"),VLOOKUP("e",'Características dos Cabos'!$D$14:$K$18,8),"")))))</f>
        <v/>
      </c>
      <c r="V45" s="323" t="str">
        <f t="shared" si="6"/>
        <v/>
      </c>
      <c r="W45" s="322" t="str">
        <f t="shared" si="7"/>
        <v/>
      </c>
      <c r="X45" s="356" t="str">
        <f>IF(OR(N45="a",O45="a"),VLOOKUP("a",'Características dos Cabos'!$D$25:$L$29,3),IF(OR(N45="b",N45="c",O45="b",O45="c"),VLOOKUP("b",'Características dos Cabos'!$D$25:$L$29,3),IF(OR(N45="d",N45="e",O45="d",O45="e"),VLOOKUP("c",'Características dos Cabos'!$D$25:$L$29,3),IF(OR(N45="f",N45="g",N45="h",O45="f",O45="g",O45="h"),VLOOKUP("d",'Características dos Cabos'!$D$25:$L$29,3),IF(OR(N45="i",N45="j",N45="l",N45="m",O45="i",O45="j",O45="l",O45="m"),VLOOKUP("e",'Características dos Cabos'!$D$25:$L$29,3),"")))))</f>
        <v/>
      </c>
      <c r="Y45" s="356" t="str">
        <f>IF(OR(N45="a",O45="a"),VLOOKUP("a",'Características dos Cabos'!$D$14:$K$18,4),IF(OR(N45="b",N45="c",O45="b",O45="c"),VLOOKUP("b",'Características dos Cabos'!$D$14:$K$18,4),IF(OR(N45="d",N45="e",O45="d",O45="e"),VLOOKUP("c",'Características dos Cabos'!$D$14:$K$18,4),IF(OR(N45="f",N45="g",N45="h",O45="f",O45="g",O45="h"),VLOOKUP("d",'Características dos Cabos'!$D$14:$K$18,4),IF(OR(N45="i",N45="j",N45="l",N45="m",O45="i",O45="j",O45="l",O45="m"),VLOOKUP("e",'Características dos Cabos'!$D$14:$K$18,4),"")))))</f>
        <v/>
      </c>
      <c r="Z45" s="323" t="str">
        <f t="shared" si="8"/>
        <v/>
      </c>
      <c r="AA45" s="324" t="str">
        <f t="shared" si="11"/>
        <v/>
      </c>
      <c r="AB45" s="367" t="e">
        <f>VLOOKUP(C45,$D$21:$R$35,12,FALSE)</f>
        <v>#N/A</v>
      </c>
      <c r="AC45" s="357">
        <f t="shared" si="12"/>
        <v>0</v>
      </c>
      <c r="AD45" s="357">
        <f t="shared" si="13"/>
        <v>0</v>
      </c>
      <c r="AE45" s="354"/>
    </row>
    <row r="46" spans="1:35" ht="14.25" customHeight="1" thickTop="1" thickBot="1" x14ac:dyDescent="0.3">
      <c r="A46" s="106"/>
      <c r="B46" s="640"/>
      <c r="C46" s="80"/>
      <c r="D46" s="81"/>
      <c r="E46" s="82"/>
      <c r="F46" s="45"/>
      <c r="G46" s="65"/>
      <c r="H46" s="358" t="str">
        <f>IF(AND(E46="",G46=""),"",SUM(F46:G48))</f>
        <v/>
      </c>
      <c r="I46" s="307" t="str">
        <f>IF(OR(L46="",M46=""),"",IF(L46="3",VLOOKUP(N46,'K% (Rede Convencional)'!$B$18:$H$29,5),(IF(L46="2",VLOOKUP(O46,'K% (Rede Convencional)'!$B$18:$H$29,6),(IF(L46="1",VLOOKUP(O46,'K% (Rede Convencional)'!$B$18:$H$29,7)))))))</f>
        <v/>
      </c>
      <c r="J46" s="307" t="str">
        <f>IF(OR(L46="",M46=""),"",IF(L46="3",VLOOKUP(N46,'K% (Rede Convencional)'!$B$18:$E$29,2),(IF(L46="2",VLOOKUP(O46,'K% (Rede Convencional)'!$B$18:$E$29,3),(IF(L46="1",VLOOKUP(O46,'K% (Rede Convencional)'!$B$18:$E$29,4)))))))</f>
        <v/>
      </c>
      <c r="K46" s="307" t="str">
        <f t="shared" si="4"/>
        <v/>
      </c>
      <c r="L46" s="93"/>
      <c r="M46" s="93"/>
      <c r="N46" s="91">
        <f t="shared" si="10"/>
        <v>0</v>
      </c>
      <c r="O46" s="92" t="str">
        <f>IF(M46="","",IF(M46="4 (4)","a",IF(OR(M46="2 (4)",M46="2 (2)"),VLOOKUP(M46,mT!$AF$21:$AG$22,2,FALSE),IF(OR(M46="1/0 (4)",M46="1/0 (2)"),VLOOKUP(M46,mT!$AF$24:$AG$25,2,FALSE),IF(OR(M46="4/0 (4)",M46="4/0 (2)",M46="4/0 (1/0)"),VLOOKUP(M46,mT!$AF$27:$AG$29,2,FALSE),IF(OR(M46="336,4 (4)",M46="336,4 (2)",M46="336,4 (1/0)",M46="336,4 (4/0)"),VLOOKUP(M46,mT!$AF$31:$AG$34,2,FALSE),""))))))</f>
        <v/>
      </c>
      <c r="P46" s="65"/>
      <c r="Q46" s="309" t="str">
        <f t="shared" si="5"/>
        <v/>
      </c>
      <c r="R46" s="309" t="str">
        <f>IF(Q46="","",SUM($Q$20:Q46))</f>
        <v/>
      </c>
      <c r="S46" s="309" t="str">
        <f t="shared" si="9"/>
        <v/>
      </c>
      <c r="T46" s="310" t="str">
        <f>IF(OR(N46="a",O46="a"),VLOOKUP("a",'Características dos Cabos'!$D$25:$L$29,9),IF(OR(N46="b",N46="c",O46="b",O46="c"),VLOOKUP("b",'Características dos Cabos'!$D$25:$L$29,9),IF(OR(N46="d",N46="e",O46="d",O46="e"),VLOOKUP("c",'Características dos Cabos'!$D$25:$L$29,9),IF(OR(N46="f",N46="g",N46="h",O46="f",O46="g",O46="h"),VLOOKUP("d",'Características dos Cabos'!$D$25:$L$29,9),IF(OR(N46="i",N46="j",N46="l",N46="m",O46="i",O47="j",O47="l",O47="m"),VLOOKUP("e",'Características dos Cabos'!$D$25:$L$29,9),"")))))</f>
        <v/>
      </c>
      <c r="U46" s="310" t="str">
        <f>IF(OR(N46="a",O46="a"),VLOOKUP("a",'Características dos Cabos'!$D$14:$K$18,8),IF(OR(N46="b",N46="c",O46="b",O46="c"),VLOOKUP("b",'Características dos Cabos'!$D$14:$K$18,8),IF(OR(N46="d",N46="e",O46="d",O46="e"),VLOOKUP("c",'Características dos Cabos'!$D$14:$K$18,8),IF(OR(N46="f",N46="g",N46="h",O46="f",O46="g",O46="h"),VLOOKUP("d",'Características dos Cabos'!$D$14:$K$18,8),IF(OR(N46="i",N46="j",N46="l",N46="m",O46="i",O47="j",O47="l",O47="m"),VLOOKUP("e",'Características dos Cabos'!$D$14:$K$18,8),"")))))</f>
        <v/>
      </c>
      <c r="V46" s="310" t="str">
        <f t="shared" si="6"/>
        <v/>
      </c>
      <c r="W46" s="309" t="str">
        <f t="shared" si="7"/>
        <v/>
      </c>
      <c r="X46" s="359" t="str">
        <f>IF(OR(N46="a",O46="a"),VLOOKUP("a",'Características dos Cabos'!$D$25:$L$29,3),IF(OR(N46="b",N46="c",O46="b",O46="c"),VLOOKUP("b",'Características dos Cabos'!$D$25:$L$29,3),IF(OR(N46="d",N46="e",O46="d",O46="e"),VLOOKUP("c",'Características dos Cabos'!$D$25:$L$29,3),IF(OR(N46="f",N46="g",N46="h",O46="f",O46="g",O46="h"),VLOOKUP("d",'Características dos Cabos'!$D$25:$L$29,3),IF(OR(N46="i",N46="j",N46="l",N46="m",O46="i",O46="j",O46="l",O46="m"),VLOOKUP("e",'Características dos Cabos'!$D$25:$L$29,3),"")))))</f>
        <v/>
      </c>
      <c r="Y46" s="359" t="str">
        <f>IF(OR(N46="a",O46="a"),VLOOKUP("a",'Características dos Cabos'!$D$14:$K$18,4),IF(OR(N46="b",N46="c",O46="b",O46="c"),VLOOKUP("b",'Características dos Cabos'!$D$14:$K$18,4),IF(OR(N46="d",N46="e",O46="d",O46="e"),VLOOKUP("c",'Características dos Cabos'!$D$14:$K$18,4),IF(OR(N46="f",N46="g",N46="h",O46="f",O46="g",O46="h"),VLOOKUP("d",'Características dos Cabos'!$D$14:$K$18,4),IF(OR(N46="i",N46="j",N46="l",N46="m",O46="i",O46="j",O46="l",O46="m"),VLOOKUP("e",'Características dos Cabos'!$D$14:$K$18,4),"")))))</f>
        <v/>
      </c>
      <c r="Z46" s="310" t="str">
        <f t="shared" si="8"/>
        <v/>
      </c>
      <c r="AA46" s="311" t="str">
        <f t="shared" si="11"/>
        <v/>
      </c>
      <c r="AB46" s="354"/>
      <c r="AC46" s="357">
        <f t="shared" si="12"/>
        <v>0</v>
      </c>
      <c r="AD46" s="357">
        <f t="shared" si="13"/>
        <v>0</v>
      </c>
      <c r="AE46" s="354"/>
    </row>
    <row r="47" spans="1:35" ht="13.5" customHeight="1" thickTop="1" thickBot="1" x14ac:dyDescent="0.3">
      <c r="A47" s="106"/>
      <c r="B47" s="640"/>
      <c r="C47" s="80"/>
      <c r="D47" s="81"/>
      <c r="E47" s="82"/>
      <c r="F47" s="45"/>
      <c r="G47" s="65"/>
      <c r="H47" s="358" t="str">
        <f>IF(AND(E47="",G47=""),"",SUM(F47:G48))</f>
        <v/>
      </c>
      <c r="I47" s="307" t="str">
        <f>IF(OR(L47="",M47=""),"",IF(L47="3",VLOOKUP(N47,'K% (Rede Convencional)'!$B$18:$H$29,5),(IF(L47="2",VLOOKUP(O47,'K% (Rede Convencional)'!$B$18:$H$29,6),(IF(L47="1",VLOOKUP(O47,'K% (Rede Convencional)'!$B$18:$H$29,7)))))))</f>
        <v/>
      </c>
      <c r="J47" s="307" t="str">
        <f>IF(OR(L47="",M47=""),"",IF(L47="3",VLOOKUP(N47,'K% (Rede Convencional)'!$B$18:$E$29,2),(IF(L47="2",VLOOKUP(O47,'K% (Rede Convencional)'!$B$18:$E$29,3),(IF(L47="1",VLOOKUP(O47,'K% (Rede Convencional)'!$B$18:$E$29,4)))))))</f>
        <v/>
      </c>
      <c r="K47" s="307" t="str">
        <f t="shared" si="4"/>
        <v/>
      </c>
      <c r="L47" s="93"/>
      <c r="M47" s="93"/>
      <c r="N47" s="91"/>
      <c r="O47" s="92"/>
      <c r="P47" s="65"/>
      <c r="Q47" s="309" t="str">
        <f t="shared" si="5"/>
        <v/>
      </c>
      <c r="R47" s="309" t="str">
        <f>IF(Q47="","",SUM($Q$20:Q47))</f>
        <v/>
      </c>
      <c r="S47" s="309" t="str">
        <f t="shared" si="9"/>
        <v/>
      </c>
      <c r="T47" s="310" t="str">
        <f>IF(OR(N47="a",O47="a"),VLOOKUP("a",'Características dos Cabos'!$D$25:$L$29,9),IF(OR(N47="b",N47="c",O47="b",O47="c"),VLOOKUP("b",'Características dos Cabos'!$D$25:$L$29,9),IF(OR(N47="d",N47="e",O47="d",O47="e"),VLOOKUP("c",'Características dos Cabos'!$D$25:$L$29,9),IF(OR(N47="f",N47="g",N47="h",O47="f",O47="g",O47="h"),VLOOKUP("d",'Características dos Cabos'!$D$25:$L$29,9),IF(OR(N47="i",N47="j",N47="l",N47="m",O47="i",O48="j",O48="l",O48="m"),VLOOKUP("e",'Características dos Cabos'!$D$25:$L$29,9),"")))))</f>
        <v/>
      </c>
      <c r="U47" s="310" t="str">
        <f>IF(OR(N47="a",O47="a"),VLOOKUP("a",'Características dos Cabos'!$D$14:$K$18,8),IF(OR(N47="b",N47="c",O47="b",O47="c"),VLOOKUP("b",'Características dos Cabos'!$D$14:$K$18,8),IF(OR(N47="d",N47="e",O47="d",O47="e"),VLOOKUP("c",'Características dos Cabos'!$D$14:$K$18,8),IF(OR(N47="f",N47="g",N47="h",O47="f",O47="g",O47="h"),VLOOKUP("d",'Características dos Cabos'!$D$14:$K$18,8),IF(OR(N47="i",N47="j",N47="l",N47="m",O47="i",O48="j",O48="l",O48="m"),VLOOKUP("e",'Características dos Cabos'!$D$14:$K$18,8),"")))))</f>
        <v/>
      </c>
      <c r="V47" s="310" t="str">
        <f t="shared" si="6"/>
        <v/>
      </c>
      <c r="W47" s="309" t="str">
        <f t="shared" si="7"/>
        <v/>
      </c>
      <c r="X47" s="359" t="str">
        <f>IF(OR(N47="a",O47="a"),VLOOKUP("a",'Características dos Cabos'!$D$25:$L$29,3),IF(OR(N47="b",N47="c",O47="b",O47="c"),VLOOKUP("b",'Características dos Cabos'!$D$25:$L$29,3),IF(OR(N47="d",N47="e",O47="d",O47="e"),VLOOKUP("c",'Características dos Cabos'!$D$25:$L$29,3),IF(OR(N47="f",N47="g",N47="h",O47="f",O47="g",O47="h"),VLOOKUP("d",'Características dos Cabos'!$D$25:$L$29,3),IF(OR(N47="i",N47="j",N47="l",N47="m",O47="i",O47="j",O47="l",O47="m"),VLOOKUP("e",'Características dos Cabos'!$D$25:$L$29,3),"")))))</f>
        <v/>
      </c>
      <c r="Y47" s="359" t="str">
        <f>IF(OR(N47="a",O47="a"),VLOOKUP("a",'Características dos Cabos'!$D$14:$K$18,4),IF(OR(N47="b",N47="c",O47="b",O47="c"),VLOOKUP("b",'Características dos Cabos'!$D$14:$K$18,4),IF(OR(N47="d",N47="e",O47="d",O47="e"),VLOOKUP("c",'Características dos Cabos'!$D$14:$K$18,4),IF(OR(N47="f",N47="g",N47="h",O47="f",O47="g",O47="h"),VLOOKUP("d",'Características dos Cabos'!$D$14:$K$18,4),IF(OR(N47="i",N47="j",N47="l",N47="m",O47="i",O47="j",O47="l",O47="m"),VLOOKUP("e",'Características dos Cabos'!$D$14:$K$18,4),"")))))</f>
        <v/>
      </c>
      <c r="Z47" s="310" t="str">
        <f t="shared" si="8"/>
        <v/>
      </c>
      <c r="AA47" s="311" t="str">
        <f t="shared" si="11"/>
        <v/>
      </c>
      <c r="AB47" s="354"/>
      <c r="AC47" s="357">
        <f t="shared" si="12"/>
        <v>0</v>
      </c>
      <c r="AD47" s="357">
        <f t="shared" si="13"/>
        <v>0</v>
      </c>
      <c r="AE47" s="354"/>
    </row>
    <row r="48" spans="1:35" ht="13.5" customHeight="1" thickTop="1" thickBot="1" x14ac:dyDescent="0.3">
      <c r="A48" s="106"/>
      <c r="B48" s="640"/>
      <c r="C48" s="83"/>
      <c r="D48" s="84"/>
      <c r="E48" s="85"/>
      <c r="F48" s="45"/>
      <c r="G48" s="66"/>
      <c r="H48" s="360" t="str">
        <f>IF(AND(E48="",G48=""),"",SUM(F48:G48))</f>
        <v/>
      </c>
      <c r="I48" s="329" t="str">
        <f>IF(OR(L48="",M48=""),"",IF(L48="3",VLOOKUP(N48,'K% (Rede Convencional)'!$B$18:$H$29,5),(IF(L48="2",VLOOKUP(O48,'K% (Rede Convencional)'!$B$18:$H$29,6),(IF(L48="1",VLOOKUP(O48,'K% (Rede Convencional)'!$B$18:$H$29,7)))))))</f>
        <v/>
      </c>
      <c r="J48" s="329" t="str">
        <f>IF(OR(L48="",M48=""),"",IF(L48="3",VLOOKUP(N48,'K% (Rede Convencional)'!$B$18:$E$29,2),(IF(L48="2",VLOOKUP(O48,'K% (Rede Convencional)'!$B$18:$E$29,3),(IF(L48="1",VLOOKUP(O48,'K% (Rede Convencional)'!$B$18:$E$29,4)))))))</f>
        <v/>
      </c>
      <c r="K48" s="329" t="str">
        <f t="shared" si="4"/>
        <v/>
      </c>
      <c r="L48" s="94"/>
      <c r="M48" s="94"/>
      <c r="N48" s="91"/>
      <c r="O48" s="92"/>
      <c r="P48" s="66"/>
      <c r="Q48" s="331" t="str">
        <f t="shared" si="5"/>
        <v/>
      </c>
      <c r="R48" s="331" t="str">
        <f>IF(Q48="","",SUM($Q$20:Q48))</f>
        <v/>
      </c>
      <c r="S48" s="331" t="str">
        <f t="shared" si="9"/>
        <v/>
      </c>
      <c r="T48" s="332" t="str">
        <f>IF(OR(N48="a",O48="a"),VLOOKUP("a",'Características dos Cabos'!$D$25:$L$29,9),IF(OR(N48="b",N48="c",O48="b",O48="c"),VLOOKUP("b",'Características dos Cabos'!$D$25:$L$29,9),IF(OR(N48="d",N48="e",O48="d",O48="e"),VLOOKUP("c",'Características dos Cabos'!$D$25:$L$29,9),IF(OR(N48="f",N48="g",N48="h",O48="f",O48="g",O48="h"),VLOOKUP("d",'Características dos Cabos'!$D$25:$L$29,9),IF(OR(N48="i",N48="j",N48="l",N48="m",O48="i",O49="j",O49="l",O49="m"),VLOOKUP("e",'Características dos Cabos'!$D$25:$L$29,9),"")))))</f>
        <v/>
      </c>
      <c r="U48" s="332" t="str">
        <f>IF(OR(N48="a",O48="a"),VLOOKUP("a",'Características dos Cabos'!$D$14:$K$18,8),IF(OR(N48="b",N48="c",O48="b",O48="c"),VLOOKUP("b",'Características dos Cabos'!$D$14:$K$18,8),IF(OR(N48="d",N48="e",O48="d",O48="e"),VLOOKUP("c",'Características dos Cabos'!$D$14:$K$18,8),IF(OR(N48="f",N48="g",N48="h",O48="f",O48="g",O48="h"),VLOOKUP("d",'Características dos Cabos'!$D$14:$K$18,8),IF(OR(N48="i",N48="j",N48="l",N48="m",O48="i",O49="j",O49="l",O49="m"),VLOOKUP("e",'Características dos Cabos'!$D$14:$K$18,8),"")))))</f>
        <v/>
      </c>
      <c r="V48" s="332" t="str">
        <f t="shared" si="6"/>
        <v/>
      </c>
      <c r="W48" s="331" t="str">
        <f t="shared" si="7"/>
        <v/>
      </c>
      <c r="X48" s="361" t="str">
        <f>IF(OR(N48="a",O48="a"),VLOOKUP("a",'Características dos Cabos'!$D$25:$L$29,3),IF(OR(N48="b",N48="c",O48="b",O48="c"),VLOOKUP("b",'Características dos Cabos'!$D$25:$L$29,3),IF(OR(N48="d",N48="e",O48="d",O48="e"),VLOOKUP("c",'Características dos Cabos'!$D$25:$L$29,3),IF(OR(N48="f",N48="g",N48="h",O48="f",O48="g",O48="h"),VLOOKUP("d",'Características dos Cabos'!$D$25:$L$29,3),IF(OR(N48="i",N48="j",N48="l",N48="m",O48="i",O48="j",O48="l",O48="m"),VLOOKUP("e",'Características dos Cabos'!$D$25:$L$29,3),"")))))</f>
        <v/>
      </c>
      <c r="Y48" s="361" t="str">
        <f>IF(OR(N48="a",O48="a"),VLOOKUP("a",'Características dos Cabos'!$D$14:$K$18,4),IF(OR(N48="b",N48="c",O48="b",O48="c"),VLOOKUP("b",'Características dos Cabos'!$D$14:$K$18,4),IF(OR(N48="d",N48="e",O48="d",O48="e"),VLOOKUP("c",'Características dos Cabos'!$D$14:$K$18,4),IF(OR(N48="f",N48="g",N48="h",O48="f",O48="g",O48="h"),VLOOKUP("d",'Características dos Cabos'!$D$14:$K$18,4),IF(OR(N48="i",N48="j",N48="l",N48="m",O48="i",O48="j",O48="l",O48="m"),VLOOKUP("e",'Características dos Cabos'!$D$14:$K$18,4),"")))))</f>
        <v/>
      </c>
      <c r="Z48" s="332" t="str">
        <f t="shared" si="8"/>
        <v/>
      </c>
      <c r="AA48" s="333" t="str">
        <f t="shared" si="11"/>
        <v/>
      </c>
      <c r="AB48" s="354"/>
      <c r="AC48" s="357">
        <f t="shared" si="12"/>
        <v>0</v>
      </c>
      <c r="AD48" s="357">
        <f t="shared" si="13"/>
        <v>0</v>
      </c>
      <c r="AE48" s="354"/>
    </row>
    <row r="49" spans="1:31" ht="13.5" customHeight="1" thickTop="1" thickBot="1" x14ac:dyDescent="0.3">
      <c r="A49" s="106"/>
      <c r="B49" s="636" t="s">
        <v>142</v>
      </c>
      <c r="C49" s="69"/>
      <c r="D49" s="86"/>
      <c r="E49" s="78"/>
      <c r="F49" s="45" t="str">
        <f t="shared" si="3"/>
        <v/>
      </c>
      <c r="G49" s="79"/>
      <c r="H49" s="355" t="str">
        <f>IF(AND(E49="",G49=""),"",SUM(F49:G52))</f>
        <v/>
      </c>
      <c r="I49" s="321" t="str">
        <f>IF(OR(L49="",M49=""),"",IF(L49="3",VLOOKUP(N49,'K% (Rede Convencional)'!$B$18:$H$29,5),(IF(L49="2",VLOOKUP(O49,'K% (Rede Convencional)'!$B$18:$H$29,6),(IF(L49="1",VLOOKUP(O49,'K% (Rede Convencional)'!$B$18:$H$29,7)))))))</f>
        <v/>
      </c>
      <c r="J49" s="321" t="str">
        <f>IF(OR(L49="",M49=""),"",IF(L49="3",VLOOKUP(N49,'K% (Rede Convencional)'!$B$18:$E$29,2),(IF(L49="2",VLOOKUP(O49,'K% (Rede Convencional)'!$B$18:$E$29,3),(IF(L49="1",VLOOKUP(O49,'K% (Rede Convencional)'!$B$18:$E$29,4)))))))</f>
        <v/>
      </c>
      <c r="K49" s="321" t="str">
        <f t="shared" si="4"/>
        <v/>
      </c>
      <c r="L49" s="95"/>
      <c r="M49" s="95"/>
      <c r="N49" s="91">
        <f t="shared" si="10"/>
        <v>0</v>
      </c>
      <c r="O49" s="92" t="str">
        <f>IF(M49="","",IF(M49="4 (4)","a",IF(OR(M49="2 (4)",M49="2 (2)"),VLOOKUP(M49,mT!$AF$21:$AG$22,2,FALSE),IF(OR(M49="1/0 (4)",M49="1/0 (2)"),VLOOKUP(M49,mT!$AF$24:$AG$25,2,FALSE),IF(OR(M49="4/0 (4)",M49="4/0 (2)",M49="4/0 (1/0)"),VLOOKUP(M49,mT!$AF$27:$AG$29,2,FALSE),IF(OR(M49="336,4 (4)",M49="336,4 (2)",M49="336,4 (1/0)",M49="336,4 (4/0)"),VLOOKUP(M49,mT!$AF$31:$AG$34,2,FALSE),""))))))</f>
        <v/>
      </c>
      <c r="P49" s="79"/>
      <c r="Q49" s="322" t="str">
        <f t="shared" si="5"/>
        <v/>
      </c>
      <c r="R49" s="322" t="str">
        <f>IF(Q49="","",SUM($Q$20:Q49))</f>
        <v/>
      </c>
      <c r="S49" s="322" t="str">
        <f t="shared" si="9"/>
        <v/>
      </c>
      <c r="T49" s="323" t="str">
        <f>IF(OR(N49="a",O49="a"),VLOOKUP("a",'Características dos Cabos'!$D$25:$L$29,9),IF(OR(N49="b",N49="c",O49="b",O49="c"),VLOOKUP("b",'Características dos Cabos'!$D$25:$L$29,9),IF(OR(N49="d",N49="e",O49="d",O49="e"),VLOOKUP("c",'Características dos Cabos'!$D$25:$L$29,9),IF(OR(N49="f",N49="g",N49="h",O49="f",O49="g",O49="h"),VLOOKUP("d",'Características dos Cabos'!$D$25:$L$29,9),IF(OR(N49="i",N49="j",N49="l",N49="m",O49="i",O50="j",O50="l",O50="m"),VLOOKUP("e",'Características dos Cabos'!$D$25:$L$29,9),"")))))</f>
        <v/>
      </c>
      <c r="U49" s="323" t="str">
        <f>IF(OR(N49="a",O49="a"),VLOOKUP("a",'Características dos Cabos'!$D$14:$K$18,8),IF(OR(N49="b",N49="c",O49="b",O49="c"),VLOOKUP("b",'Características dos Cabos'!$D$14:$K$18,8),IF(OR(N49="d",N49="e",O49="d",O49="e"),VLOOKUP("c",'Características dos Cabos'!$D$14:$K$18,8),IF(OR(N49="f",N49="g",N49="h",O49="f",O49="g",O49="h"),VLOOKUP("d",'Características dos Cabos'!$D$14:$K$18,8),IF(OR(N49="i",N49="j",N49="l",N49="m",O49="i",O50="j",O50="l",O50="m"),VLOOKUP("e",'Características dos Cabos'!$D$14:$K$18,8),"")))))</f>
        <v/>
      </c>
      <c r="V49" s="323" t="str">
        <f t="shared" si="6"/>
        <v/>
      </c>
      <c r="W49" s="322" t="str">
        <f t="shared" si="7"/>
        <v/>
      </c>
      <c r="X49" s="356" t="str">
        <f>IF(OR(N49="a",O49="a"),VLOOKUP("a",'Características dos Cabos'!$D$25:$L$29,3),IF(OR(N49="b",N49="c",O49="b",O49="c"),VLOOKUP("b",'Características dos Cabos'!$D$25:$L$29,3),IF(OR(N49="d",N49="e",O49="d",O49="e"),VLOOKUP("c",'Características dos Cabos'!$D$25:$L$29,3),IF(OR(N49="f",N49="g",N49="h",O49="f",O49="g",O49="h"),VLOOKUP("d",'Características dos Cabos'!$D$25:$L$29,3),IF(OR(N49="i",N49="j",N49="l",N49="m",O49="i",O49="j",O49="l",O49="m"),VLOOKUP("e",'Características dos Cabos'!$D$25:$L$29,3),"")))))</f>
        <v/>
      </c>
      <c r="Y49" s="356" t="str">
        <f>IF(OR(N49="a",O49="a"),VLOOKUP("a",'Características dos Cabos'!$D$14:$K$18,4),IF(OR(N49="b",N49="c",O49="b",O49="c"),VLOOKUP("b",'Características dos Cabos'!$D$14:$K$18,4),IF(OR(N49="d",N49="e",O49="d",O49="e"),VLOOKUP("c",'Características dos Cabos'!$D$14:$K$18,4),IF(OR(N49="f",N49="g",N49="h",O49="f",O49="g",O49="h"),VLOOKUP("d",'Características dos Cabos'!$D$14:$K$18,4),IF(OR(N49="i",N49="j",N49="l",N49="m",O49="i",O49="j",O49="l",O49="m"),VLOOKUP("e",'Características dos Cabos'!$D$14:$K$18,4),"")))))</f>
        <v/>
      </c>
      <c r="Z49" s="323" t="str">
        <f t="shared" si="8"/>
        <v/>
      </c>
      <c r="AA49" s="324" t="str">
        <f t="shared" si="11"/>
        <v/>
      </c>
      <c r="AB49" s="367" t="e">
        <f>VLOOKUP(C49,$D$21:$R$35,12,FALSE)</f>
        <v>#N/A</v>
      </c>
      <c r="AC49" s="357">
        <f t="shared" si="12"/>
        <v>0</v>
      </c>
      <c r="AD49" s="357">
        <f t="shared" si="13"/>
        <v>0</v>
      </c>
      <c r="AE49" s="354"/>
    </row>
    <row r="50" spans="1:31" ht="14.25" customHeight="1" thickTop="1" thickBot="1" x14ac:dyDescent="0.3">
      <c r="A50" s="106"/>
      <c r="B50" s="637"/>
      <c r="C50" s="80"/>
      <c r="D50" s="81"/>
      <c r="E50" s="82"/>
      <c r="F50" s="45" t="str">
        <f t="shared" si="3"/>
        <v/>
      </c>
      <c r="G50" s="65"/>
      <c r="H50" s="358" t="str">
        <f>IF(AND(E50="",G50=""),"",SUM(F50:G52))</f>
        <v/>
      </c>
      <c r="I50" s="307" t="str">
        <f>IF(OR(L50="",M50=""),"",IF(L50="3",VLOOKUP(N50,'K% (Rede Convencional)'!$B$18:$H$29,5),(IF(L50="2",VLOOKUP(O50,'K% (Rede Convencional)'!$B$18:$H$29,6),(IF(L50="1",VLOOKUP(O50,'K% (Rede Convencional)'!$B$18:$H$29,7)))))))</f>
        <v/>
      </c>
      <c r="J50" s="307" t="str">
        <f>IF(OR(L50="",M50=""),"",IF(L50="3",VLOOKUP(N50,'K% (Rede Convencional)'!$B$18:$E$29,2),(IF(L50="2",VLOOKUP(O50,'K% (Rede Convencional)'!$B$18:$E$29,3),(IF(L50="1",VLOOKUP(O50,'K% (Rede Convencional)'!$B$18:$E$29,4)))))))</f>
        <v/>
      </c>
      <c r="K50" s="307" t="str">
        <f t="shared" si="4"/>
        <v/>
      </c>
      <c r="L50" s="93"/>
      <c r="M50" s="93"/>
      <c r="N50" s="91">
        <f t="shared" si="10"/>
        <v>0</v>
      </c>
      <c r="O50" s="92" t="str">
        <f>IF(M50="","",IF(M50="4 (4)","a",IF(OR(M50="2 (4)",M50="2 (2)"),VLOOKUP(M50,mT!$AF$21:$AG$22,2,FALSE),IF(OR(M50="1/0 (4)",M50="1/0 (2)"),VLOOKUP(M50,mT!$AF$24:$AG$25,2,FALSE),IF(OR(M50="4/0 (4)",M50="4/0 (2)",M50="4/0 (1/0)"),VLOOKUP(M50,mT!$AF$27:$AG$29,2,FALSE),IF(OR(M50="336,4 (4)",M50="336,4 (2)",M50="336,4 (1/0)",M50="336,4 (4/0)"),VLOOKUP(M50,mT!$AF$31:$AG$34,2,FALSE),""))))))</f>
        <v/>
      </c>
      <c r="P50" s="65"/>
      <c r="Q50" s="309" t="str">
        <f t="shared" si="5"/>
        <v/>
      </c>
      <c r="R50" s="309" t="str">
        <f>IF(Q50="","",SUM($Q$20:Q50))</f>
        <v/>
      </c>
      <c r="S50" s="309" t="str">
        <f t="shared" si="9"/>
        <v/>
      </c>
      <c r="T50" s="310" t="str">
        <f>IF(OR(N50="a",O50="a"),VLOOKUP("a",'Características dos Cabos'!$D$25:$L$29,9),IF(OR(N50="b",N50="c",O50="b",O50="c"),VLOOKUP("b",'Características dos Cabos'!$D$25:$L$29,9),IF(OR(N50="d",N50="e",O50="d",O50="e"),VLOOKUP("c",'Características dos Cabos'!$D$25:$L$29,9),IF(OR(N50="f",N50="g",N50="h",O50="f",O50="g",O50="h"),VLOOKUP("d",'Características dos Cabos'!$D$25:$L$29,9),IF(OR(N50="i",N50="j",N50="l",N50="m",O50="i",O51="j",O51="l",O51="m"),VLOOKUP("e",'Características dos Cabos'!$D$25:$L$29,9),"")))))</f>
        <v/>
      </c>
      <c r="U50" s="310" t="str">
        <f>IF(OR(N50="a",O50="a"),VLOOKUP("a",'Características dos Cabos'!$D$14:$K$18,8),IF(OR(N50="b",N50="c",O50="b",O50="c"),VLOOKUP("b",'Características dos Cabos'!$D$14:$K$18,8),IF(OR(N50="d",N50="e",O50="d",O50="e"),VLOOKUP("c",'Características dos Cabos'!$D$14:$K$18,8),IF(OR(N50="f",N50="g",N50="h",O50="f",O50="g",O50="h"),VLOOKUP("d",'Características dos Cabos'!$D$14:$K$18,8),IF(OR(N50="i",N50="j",N50="l",N50="m",O50="i",O51="j",O51="l",O51="m"),VLOOKUP("e",'Características dos Cabos'!$D$14:$K$18,8),"")))))</f>
        <v/>
      </c>
      <c r="V50" s="310" t="str">
        <f t="shared" si="6"/>
        <v/>
      </c>
      <c r="W50" s="309" t="str">
        <f t="shared" si="7"/>
        <v/>
      </c>
      <c r="X50" s="359" t="str">
        <f>IF(OR(N50="a",O50="a"),VLOOKUP("a",'Características dos Cabos'!$D$25:$L$29,3),IF(OR(N50="b",N50="c",O50="b",O50="c"),VLOOKUP("b",'Características dos Cabos'!$D$25:$L$29,3),IF(OR(N50="d",N50="e",O50="d",O50="e"),VLOOKUP("c",'Características dos Cabos'!$D$25:$L$29,3),IF(OR(N50="f",N50="g",N50="h",O50="f",O50="g",O50="h"),VLOOKUP("d",'Características dos Cabos'!$D$25:$L$29,3),IF(OR(N50="i",N50="j",N50="l",N50="m",O50="i",O50="j",O50="l",O50="m"),VLOOKUP("e",'Características dos Cabos'!$D$25:$L$29,3),"")))))</f>
        <v/>
      </c>
      <c r="Y50" s="359" t="str">
        <f>IF(OR(N50="a",O50="a"),VLOOKUP("a",'Características dos Cabos'!$D$14:$K$18,4),IF(OR(N50="b",N50="c",O50="b",O50="c"),VLOOKUP("b",'Características dos Cabos'!$D$14:$K$18,4),IF(OR(N50="d",N50="e",O50="d",O50="e"),VLOOKUP("c",'Características dos Cabos'!$D$14:$K$18,4),IF(OR(N50="f",N50="g",N50="h",O50="f",O50="g",O50="h"),VLOOKUP("d",'Características dos Cabos'!$D$14:$K$18,4),IF(OR(N50="i",N50="j",N50="l",N50="m",O50="i",O50="j",O50="l",O50="m"),VLOOKUP("e",'Características dos Cabos'!$D$14:$K$18,4),"")))))</f>
        <v/>
      </c>
      <c r="Z50" s="310" t="str">
        <f t="shared" si="8"/>
        <v/>
      </c>
      <c r="AA50" s="311" t="str">
        <f t="shared" si="11"/>
        <v/>
      </c>
      <c r="AB50" s="354"/>
      <c r="AC50" s="357">
        <f t="shared" si="12"/>
        <v>0</v>
      </c>
      <c r="AD50" s="357">
        <f t="shared" si="13"/>
        <v>0</v>
      </c>
      <c r="AE50" s="354"/>
    </row>
    <row r="51" spans="1:31" ht="13.5" customHeight="1" thickTop="1" thickBot="1" x14ac:dyDescent="0.3">
      <c r="A51" s="106"/>
      <c r="B51" s="637"/>
      <c r="C51" s="80"/>
      <c r="D51" s="81"/>
      <c r="E51" s="82"/>
      <c r="F51" s="45" t="str">
        <f t="shared" si="3"/>
        <v/>
      </c>
      <c r="G51" s="65"/>
      <c r="H51" s="358" t="str">
        <f>IF(AND(E51="",G51=""),"",SUM(F51:G52))</f>
        <v/>
      </c>
      <c r="I51" s="307" t="str">
        <f>IF(OR(L51="",M51=""),"",IF(L51="3",VLOOKUP(N51,'K% (Rede Convencional)'!$B$18:$H$29,5),(IF(L51="2",VLOOKUP(O51,'K% (Rede Convencional)'!$B$18:$H$29,6),(IF(L51="1",VLOOKUP(O51,'K% (Rede Convencional)'!$B$18:$H$29,7)))))))</f>
        <v/>
      </c>
      <c r="J51" s="307" t="str">
        <f>IF(OR(L51="",M51=""),"",IF(L51="3",VLOOKUP(N51,'K% (Rede Convencional)'!$B$18:$E$29,2),(IF(L51="2",VLOOKUP(O51,'K% (Rede Convencional)'!$B$18:$E$29,3),(IF(L51="1",VLOOKUP(O51,'K% (Rede Convencional)'!$B$18:$E$29,4)))))))</f>
        <v/>
      </c>
      <c r="K51" s="307" t="str">
        <f t="shared" si="4"/>
        <v/>
      </c>
      <c r="L51" s="93"/>
      <c r="M51" s="93"/>
      <c r="N51" s="91">
        <f t="shared" si="10"/>
        <v>0</v>
      </c>
      <c r="O51" s="92" t="str">
        <f>IF(M51="","",IF(M51="4 (4)","a",IF(OR(M51="2 (4)",M51="2 (2)"),VLOOKUP(M51,mT!$AF$21:$AG$22,2,FALSE),IF(OR(M51="1/0 (4)",M51="1/0 (2)"),VLOOKUP(M51,mT!$AF$24:$AG$25,2,FALSE),IF(OR(M51="4/0 (4)",M51="4/0 (2)",M51="4/0 (1/0)"),VLOOKUP(M51,mT!$AF$27:$AG$29,2,FALSE),IF(OR(M51="336,4 (4)",M51="336,4 (2)",M51="336,4 (1/0)",M51="336,4 (4/0)"),VLOOKUP(M51,mT!$AF$31:$AG$34,2,FALSE),""))))))</f>
        <v/>
      </c>
      <c r="P51" s="65"/>
      <c r="Q51" s="309" t="str">
        <f t="shared" si="5"/>
        <v/>
      </c>
      <c r="R51" s="309" t="str">
        <f>IF(Q51="","",SUM($Q$20:Q51))</f>
        <v/>
      </c>
      <c r="S51" s="309" t="str">
        <f t="shared" si="9"/>
        <v/>
      </c>
      <c r="T51" s="310" t="str">
        <f>IF(OR(N51="a",O51="a"),VLOOKUP("a",'Características dos Cabos'!$D$25:$L$29,9),IF(OR(N51="b",N51="c",O51="b",O51="c"),VLOOKUP("b",'Características dos Cabos'!$D$25:$L$29,9),IF(OR(N51="d",N51="e",O51="d",O51="e"),VLOOKUP("c",'Características dos Cabos'!$D$25:$L$29,9),IF(OR(N51="f",N51="g",N51="h",O51="f",O51="g",O51="h"),VLOOKUP("d",'Características dos Cabos'!$D$25:$L$29,9),IF(OR(N51="i",N51="j",N51="l",N51="m",O51="i",O52="j",O52="l",O52="m"),VLOOKUP("e",'Características dos Cabos'!$D$25:$L$29,9),"")))))</f>
        <v/>
      </c>
      <c r="U51" s="310" t="str">
        <f>IF(OR(N51="a",O51="a"),VLOOKUP("a",'Características dos Cabos'!$D$14:$K$18,8),IF(OR(N51="b",N51="c",O51="b",O51="c"),VLOOKUP("b",'Características dos Cabos'!$D$14:$K$18,8),IF(OR(N51="d",N51="e",O51="d",O51="e"),VLOOKUP("c",'Características dos Cabos'!$D$14:$K$18,8),IF(OR(N51="f",N51="g",N51="h",O51="f",O51="g",O51="h"),VLOOKUP("d",'Características dos Cabos'!$D$14:$K$18,8),IF(OR(N51="i",N51="j",N51="l",N51="m",O51="i",O52="j",O52="l",O52="m"),VLOOKUP("e",'Características dos Cabos'!$D$14:$K$18,8),"")))))</f>
        <v/>
      </c>
      <c r="V51" s="310" t="str">
        <f t="shared" si="6"/>
        <v/>
      </c>
      <c r="W51" s="309" t="str">
        <f t="shared" si="7"/>
        <v/>
      </c>
      <c r="X51" s="359" t="str">
        <f>IF(OR(N51="a",O51="a"),VLOOKUP("a",'Características dos Cabos'!$D$25:$L$29,3),IF(OR(N51="b",N51="c",O51="b",O51="c"),VLOOKUP("b",'Características dos Cabos'!$D$25:$L$29,3),IF(OR(N51="d",N51="e",O51="d",O51="e"),VLOOKUP("c",'Características dos Cabos'!$D$25:$L$29,3),IF(OR(N51="f",N51="g",N51="h",O51="f",O51="g",O51="h"),VLOOKUP("d",'Características dos Cabos'!$D$25:$L$29,3),IF(OR(N51="i",N51="j",N51="l",N51="m",O51="i",O51="j",O51="l",O51="m"),VLOOKUP("e",'Características dos Cabos'!$D$25:$L$29,3),"")))))</f>
        <v/>
      </c>
      <c r="Y51" s="359" t="str">
        <f>IF(OR(N51="a",O51="a"),VLOOKUP("a",'Características dos Cabos'!$D$14:$K$18,4),IF(OR(N51="b",N51="c",O51="b",O51="c"),VLOOKUP("b",'Características dos Cabos'!$D$14:$K$18,4),IF(OR(N51="d",N51="e",O51="d",O51="e"),VLOOKUP("c",'Características dos Cabos'!$D$14:$K$18,4),IF(OR(N51="f",N51="g",N51="h",O51="f",O51="g",O51="h"),VLOOKUP("d",'Características dos Cabos'!$D$14:$K$18,4),IF(OR(N51="i",N51="j",N51="l",N51="m",O51="i",O51="j",O51="l",O51="m"),VLOOKUP("e",'Características dos Cabos'!$D$14:$K$18,4),"")))))</f>
        <v/>
      </c>
      <c r="Z51" s="310" t="str">
        <f t="shared" si="8"/>
        <v/>
      </c>
      <c r="AA51" s="311" t="str">
        <f t="shared" si="11"/>
        <v/>
      </c>
      <c r="AB51" s="354"/>
      <c r="AC51" s="357">
        <f t="shared" si="12"/>
        <v>0</v>
      </c>
      <c r="AD51" s="357">
        <f t="shared" si="13"/>
        <v>0</v>
      </c>
      <c r="AE51" s="354"/>
    </row>
    <row r="52" spans="1:31" ht="13.5" customHeight="1" thickTop="1" thickBot="1" x14ac:dyDescent="0.3">
      <c r="A52" s="106"/>
      <c r="B52" s="638"/>
      <c r="C52" s="83"/>
      <c r="D52" s="84"/>
      <c r="E52" s="85"/>
      <c r="F52" s="45" t="str">
        <f t="shared" si="3"/>
        <v/>
      </c>
      <c r="G52" s="66"/>
      <c r="H52" s="360" t="str">
        <f>IF(AND(E52="",G52=""),"",SUM(F52:G52))</f>
        <v/>
      </c>
      <c r="I52" s="329" t="str">
        <f>IF(OR(L52="",M52=""),"",IF(L52="3",VLOOKUP(N52,'K% (Rede Convencional)'!$B$18:$H$29,5),(IF(L52="2",VLOOKUP(O52,'K% (Rede Convencional)'!$B$18:$H$29,6),(IF(L52="1",VLOOKUP(O52,'K% (Rede Convencional)'!$B$18:$H$29,7)))))))</f>
        <v/>
      </c>
      <c r="J52" s="329" t="str">
        <f>IF(OR(L52="",M52=""),"",IF(L52="3",VLOOKUP(N52,'K% (Rede Convencional)'!$B$18:$E$29,2),(IF(L52="2",VLOOKUP(O52,'K% (Rede Convencional)'!$B$18:$E$29,3),(IF(L52="1",VLOOKUP(O52,'K% (Rede Convencional)'!$B$18:$E$29,4)))))))</f>
        <v/>
      </c>
      <c r="K52" s="329" t="str">
        <f t="shared" si="4"/>
        <v/>
      </c>
      <c r="L52" s="94"/>
      <c r="M52" s="94"/>
      <c r="N52" s="91">
        <f t="shared" si="10"/>
        <v>0</v>
      </c>
      <c r="O52" s="92" t="str">
        <f>IF(M52="","",IF(M52="4 (4)","a",IF(OR(M52="2 (4)",M52="2 (2)"),VLOOKUP(M52,mT!$AF$21:$AG$22,2,FALSE),IF(OR(M52="1/0 (4)",M52="1/0 (2)"),VLOOKUP(M52,mT!$AF$24:$AG$25,2,FALSE),IF(OR(M52="4/0 (4)",M52="4/0 (2)",M52="4/0 (1/0)"),VLOOKUP(M52,mT!$AF$27:$AG$29,2,FALSE),IF(OR(M52="336,4 (4)",M52="336,4 (2)",M52="336,4 (1/0)",M52="336,4 (4/0)"),VLOOKUP(M52,mT!$AF$31:$AG$34,2,FALSE),""))))))</f>
        <v/>
      </c>
      <c r="P52" s="66"/>
      <c r="Q52" s="331" t="str">
        <f t="shared" si="5"/>
        <v/>
      </c>
      <c r="R52" s="331" t="str">
        <f>IF(Q52="","",SUM($Q$20:Q52))</f>
        <v/>
      </c>
      <c r="S52" s="331" t="str">
        <f t="shared" si="9"/>
        <v/>
      </c>
      <c r="T52" s="332" t="str">
        <f>IF(OR(N52="a",O52="a"),VLOOKUP("a",'Características dos Cabos'!$D$25:$L$29,9),IF(OR(N52="b",N52="c",O52="b",O52="c"),VLOOKUP("b",'Características dos Cabos'!$D$25:$L$29,9),IF(OR(N52="d",N52="e",O52="d",O52="e"),VLOOKUP("c",'Características dos Cabos'!$D$25:$L$29,9),IF(OR(N52="f",N52="g",N52="h",O52="f",O52="g",O52="h"),VLOOKUP("d",'Características dos Cabos'!$D$25:$L$29,9),IF(OR(N52="i",N52="j",N52="l",N52="m",O52="i",O77="j",O77="l",O77="m"),VLOOKUP("e",'Características dos Cabos'!$D$25:$L$29,9),"")))))</f>
        <v/>
      </c>
      <c r="U52" s="332" t="str">
        <f>IF(OR(N52="a",O52="a"),VLOOKUP("a",'Características dos Cabos'!$D$14:$K$18,8),IF(OR(N52="b",N52="c",O52="b",O52="c"),VLOOKUP("b",'Características dos Cabos'!$D$14:$K$18,8),IF(OR(N52="d",N52="e",O52="d",O52="e"),VLOOKUP("c",'Características dos Cabos'!$D$14:$K$18,8),IF(OR(N52="f",N52="g",N52="h",O52="f",O52="g",O52="h"),VLOOKUP("d",'Características dos Cabos'!$D$14:$K$18,8),IF(OR(N52="i",N52="j",N52="l",N52="m",O52="i",O77="j",O77="l",O77="m"),VLOOKUP("e",'Características dos Cabos'!$D$14:$K$18,8),"")))))</f>
        <v/>
      </c>
      <c r="V52" s="332" t="str">
        <f t="shared" si="6"/>
        <v/>
      </c>
      <c r="W52" s="331" t="str">
        <f t="shared" si="7"/>
        <v/>
      </c>
      <c r="X52" s="361" t="str">
        <f>IF(OR(N52="a",O52="a"),VLOOKUP("a",'Características dos Cabos'!$D$25:$L$29,3),IF(OR(N52="b",N52="c",O52="b",O52="c"),VLOOKUP("b",'Características dos Cabos'!$D$25:$L$29,3),IF(OR(N52="d",N52="e",O52="d",O52="e"),VLOOKUP("c",'Características dos Cabos'!$D$25:$L$29,3),IF(OR(N52="f",N52="g",N52="h",O52="f",O52="g",O52="h"),VLOOKUP("d",'Características dos Cabos'!$D$25:$L$29,3),IF(OR(N52="i",N52="j",N52="l",N52="m",O52="i",O52="j",O52="l",O52="m"),VLOOKUP("e",'Características dos Cabos'!$D$25:$L$29,3),"")))))</f>
        <v/>
      </c>
      <c r="Y52" s="361" t="str">
        <f>IF(OR(N52="a",O52="a"),VLOOKUP("a",'Características dos Cabos'!$D$14:$K$18,4),IF(OR(N52="b",N52="c",O52="b",O52="c"),VLOOKUP("b",'Características dos Cabos'!$D$14:$K$18,4),IF(OR(N52="d",N52="e",O52="d",O52="e"),VLOOKUP("c",'Características dos Cabos'!$D$14:$K$18,4),IF(OR(N52="f",N52="g",N52="h",O52="f",O52="g",O52="h"),VLOOKUP("d",'Características dos Cabos'!$D$14:$K$18,4),IF(OR(N52="i",N52="j",N52="l",N52="m",O52="i",O52="j",O52="l",O52="m"),VLOOKUP("e",'Características dos Cabos'!$D$14:$K$18,4),"")))))</f>
        <v/>
      </c>
      <c r="Z52" s="332" t="str">
        <f t="shared" si="8"/>
        <v/>
      </c>
      <c r="AA52" s="333" t="str">
        <f t="shared" si="11"/>
        <v/>
      </c>
      <c r="AB52" s="354"/>
      <c r="AC52" s="357">
        <f t="shared" si="12"/>
        <v>0</v>
      </c>
      <c r="AD52" s="357">
        <f t="shared" si="13"/>
        <v>0</v>
      </c>
      <c r="AE52" s="354"/>
    </row>
    <row r="53" spans="1:31" ht="13.5" customHeight="1" thickTop="1" thickBot="1" x14ac:dyDescent="0.3">
      <c r="A53" s="106"/>
      <c r="B53" s="636" t="s">
        <v>235</v>
      </c>
      <c r="C53" s="69"/>
      <c r="D53" s="86"/>
      <c r="E53" s="78"/>
      <c r="F53" s="45" t="str">
        <f t="shared" si="3"/>
        <v/>
      </c>
      <c r="G53" s="79"/>
      <c r="H53" s="355" t="str">
        <f>IF(AND(E53="",G53=""),"",SUM(F53:G56))</f>
        <v/>
      </c>
      <c r="I53" s="321" t="str">
        <f>IF(OR(L53="",M53=""),"",IF(L53="3",VLOOKUP(N53,'K% (Rede Convencional)'!$B$18:$H$29,5),(IF(L53="2",VLOOKUP(O53,'K% (Rede Convencional)'!$B$18:$H$29,6),(IF(L53="1",VLOOKUP(O53,'K% (Rede Convencional)'!$B$18:$H$29,7)))))))</f>
        <v/>
      </c>
      <c r="J53" s="321" t="str">
        <f>IF(OR(L53="",M53=""),"",IF(L53="3",VLOOKUP(N53,'K% (Rede Convencional)'!$B$18:$E$29,2),(IF(L53="2",VLOOKUP(O53,'K% (Rede Convencional)'!$B$18:$E$29,3),(IF(L53="1",VLOOKUP(O53,'K% (Rede Convencional)'!$B$18:$E$29,4)))))))</f>
        <v/>
      </c>
      <c r="K53" s="321" t="str">
        <f t="shared" ref="K53:K76" si="14">IF(OR(I53="",J53=""),"",(IF(OR($D$16="CAA",$D$16="caa"),J53,(IF(OR($D$16="CA",$D$16="ca"),I53)))))</f>
        <v/>
      </c>
      <c r="L53" s="95"/>
      <c r="M53" s="95"/>
      <c r="N53" s="87">
        <f t="shared" si="10"/>
        <v>0</v>
      </c>
      <c r="O53" s="92" t="str">
        <f>IF(M53="","",IF(M53="4 (4)","a",IF(OR(M53="2 (4)",M53="2 (2)"),VLOOKUP(M53,mT!$AF$21:$AG$22,2,FALSE),IF(OR(M53="1/0 (4)",M53="1/0 (2)"),VLOOKUP(M53,mT!$AF$24:$AG$25,2,FALSE),IF(OR(M53="4/0 (4)",M53="4/0 (2)",M53="4/0 (1/0)"),VLOOKUP(M53,mT!$AF$27:$AG$29,2,FALSE),IF(OR(M53="336,4 (4)",M53="336,4 (2)",M53="336,4 (1/0)",M53="336,4 (4/0)"),VLOOKUP(M53,mT!$AF$31:$AG$34,2,FALSE),""))))))</f>
        <v/>
      </c>
      <c r="P53" s="79"/>
      <c r="Q53" s="322" t="str">
        <f t="shared" ref="Q53:Q76" si="15">IF(OR(H53="",K53="",P53=""),"",K53*H53*P53)</f>
        <v/>
      </c>
      <c r="R53" s="322" t="str">
        <f>IF(Q53="","",SUM($Q$20:Q53))</f>
        <v/>
      </c>
      <c r="S53" s="322" t="str">
        <f t="shared" ref="S53:S76" si="16">IF(H53="","",IF(L53="3",H53*1000/($D$14*SQRT(3)),IF(L53="2",H53*1000*SQRT(3)/($D$14*2),IF(L53="1",H53*1000*SQRT(3)/$D$14))))</f>
        <v/>
      </c>
      <c r="T53" s="323" t="str">
        <f>IF(OR(N53="a",O53="a"),VLOOKUP("a",'Características dos Cabos'!$D$25:$L$29,9),IF(OR(N53="b",N53="c",O53="b",O53="c"),VLOOKUP("b",'Características dos Cabos'!$D$25:$L$29,9),IF(OR(N53="d",N53="e",O53="d",O53="e"),VLOOKUP("c",'Características dos Cabos'!$D$25:$L$29,9),IF(OR(N53="f",N53="g",N53="h",O53="f",O53="g",O53="h"),VLOOKUP("d",'Características dos Cabos'!$D$25:$L$29,9),IF(OR(N53="i",N53="j",N53="l",N53="m",O53="i",O54="j",O54="l",O54="m"),VLOOKUP("e",'Características dos Cabos'!$D$25:$L$29,9),"")))))</f>
        <v/>
      </c>
      <c r="U53" s="323" t="str">
        <f>IF(OR(N53="a",O53="a"),VLOOKUP("a",'Características dos Cabos'!$D$14:$K$18,8),IF(OR(N53="b",N53="c",O53="b",O53="c"),VLOOKUP("b",'Características dos Cabos'!$D$14:$K$18,8),IF(OR(N53="d",N53="e",O53="d",O53="e"),VLOOKUP("c",'Características dos Cabos'!$D$14:$K$18,8),IF(OR(N53="f",N53="g",N53="h",O53="f",O53="g",O53="h"),VLOOKUP("d",'Características dos Cabos'!$D$14:$K$18,8),IF(OR(N53="i",N53="j",N53="l",N53="m",O53="i",O54="j",O54="l",O54="m"),VLOOKUP("e",'Características dos Cabos'!$D$14:$K$18,8),"")))))</f>
        <v/>
      </c>
      <c r="V53" s="323" t="str">
        <f t="shared" ref="V53:V76" si="17">IF(AND(T53="",U53=""),"",(IF(OR($D$16="CAA",$D$16="caa"),U53,(IF(OR($D$16="CA",$D$16="ca"),T53)))))</f>
        <v/>
      </c>
      <c r="W53" s="322" t="str">
        <f t="shared" ref="W53:W76" si="18">IF(OR(N53="",S53="",T53=""),"",S53*100/T53)</f>
        <v/>
      </c>
      <c r="X53" s="356" t="str">
        <f>IF(OR(N53="a",O53="a"),VLOOKUP("a",'Características dos Cabos'!$D$25:$L$29,3),IF(OR(N53="b",N53="c",O53="b",O53="c"),VLOOKUP("b",'Características dos Cabos'!$D$25:$L$29,3),IF(OR(N53="d",N53="e",O53="d",O53="e"),VLOOKUP("c",'Características dos Cabos'!$D$25:$L$29,3),IF(OR(N53="f",N53="g",N53="h",O53="f",O53="g",O53="h"),VLOOKUP("d",'Características dos Cabos'!$D$25:$L$29,3),IF(OR(N53="i",N53="j",N53="l",N53="m",O53="i",O53="j",O53="l",O53="m"),VLOOKUP("e",'Características dos Cabos'!$D$25:$L$29,3),"")))))</f>
        <v/>
      </c>
      <c r="Y53" s="356" t="str">
        <f>IF(OR(N53="a",O53="a"),VLOOKUP("a",'Características dos Cabos'!$D$14:$K$18,4),IF(OR(N53="b",N53="c",O53="b",O53="c"),VLOOKUP("b",'Características dos Cabos'!$D$14:$K$18,4),IF(OR(N53="d",N53="e",O53="d",O53="e"),VLOOKUP("c",'Características dos Cabos'!$D$14:$K$18,4),IF(OR(N53="f",N53="g",N53="h",O53="f",O53="g",O53="h"),VLOOKUP("d",'Características dos Cabos'!$D$14:$K$18,4),IF(OR(N53="i",N53="j",N53="l",N53="m",O53="i",O53="j",O53="l",O53="m"),VLOOKUP("e",'Características dos Cabos'!$D$14:$K$18,4),"")))))</f>
        <v/>
      </c>
      <c r="Z53" s="323" t="str">
        <f t="shared" ref="Z53:Z76" si="19">IF(AND(X53="",Y53=""),"",(IF(OR($D$16="CAA",$D$16="caa"),Y53,(IF(OR($D$16="CA",$D$16="ca"),X53)))))</f>
        <v/>
      </c>
      <c r="AA53" s="324" t="str">
        <f t="shared" ref="AA53:AA76" si="20">IF(OR(P53="",$G$16="",H53="",N53=""),"",IF(L53="3",3*$K$14*Z53*P53*((S53)^2)*8.76,IF(L53="2",2*$K$14*Z53*P53*((S53)^2)*8.76,IF(L53="1",$K$14*Z53*P53*((S53)^2)*8.76))))</f>
        <v/>
      </c>
      <c r="AB53" s="367" t="e">
        <f>VLOOKUP(C53,$D$21:$R$35,12,FALSE)</f>
        <v>#N/A</v>
      </c>
      <c r="AC53" s="357">
        <f t="shared" ref="AC53:AC76" si="21">D53</f>
        <v>0</v>
      </c>
      <c r="AD53" s="357">
        <f t="shared" ref="AD53:AD76" si="22">M53</f>
        <v>0</v>
      </c>
      <c r="AE53" s="354"/>
    </row>
    <row r="54" spans="1:31" ht="14.25" customHeight="1" thickTop="1" thickBot="1" x14ac:dyDescent="0.3">
      <c r="A54" s="106"/>
      <c r="B54" s="637"/>
      <c r="C54" s="80"/>
      <c r="D54" s="81"/>
      <c r="E54" s="82"/>
      <c r="F54" s="45" t="str">
        <f t="shared" si="3"/>
        <v/>
      </c>
      <c r="G54" s="65"/>
      <c r="H54" s="358" t="str">
        <f>IF(AND(E54="",G54=""),"",SUM(F54:G56))</f>
        <v/>
      </c>
      <c r="I54" s="307" t="str">
        <f>IF(OR(L54="",M54=""),"",IF(L54="3",VLOOKUP(N54,'K% (Rede Convencional)'!$B$18:$H$29,5),(IF(L54="2",VLOOKUP(O54,'K% (Rede Convencional)'!$B$18:$H$29,6),(IF(L54="1",VLOOKUP(O54,'K% (Rede Convencional)'!$B$18:$H$29,7)))))))</f>
        <v/>
      </c>
      <c r="J54" s="307" t="str">
        <f>IF(OR(L54="",M54=""),"",IF(L54="3",VLOOKUP(N54,'K% (Rede Convencional)'!$B$18:$E$29,2),(IF(L54="2",VLOOKUP(O54,'K% (Rede Convencional)'!$B$18:$E$29,3),(IF(L54="1",VLOOKUP(O54,'K% (Rede Convencional)'!$B$18:$E$29,4)))))))</f>
        <v/>
      </c>
      <c r="K54" s="307" t="str">
        <f t="shared" si="14"/>
        <v/>
      </c>
      <c r="L54" s="93"/>
      <c r="M54" s="93"/>
      <c r="N54" s="89">
        <f t="shared" si="10"/>
        <v>0</v>
      </c>
      <c r="O54" s="92" t="str">
        <f>IF(M54="","",IF(M54="4 (4)","a",IF(OR(M54="2 (4)",M54="2 (2)"),VLOOKUP(M54,mT!$AF$21:$AG$22,2,FALSE),IF(OR(M54="1/0 (4)",M54="1/0 (2)"),VLOOKUP(M54,mT!$AF$24:$AG$25,2,FALSE),IF(OR(M54="4/0 (4)",M54="4/0 (2)",M54="4/0 (1/0)"),VLOOKUP(M54,mT!$AF$27:$AG$29,2,FALSE),IF(OR(M54="336,4 (4)",M54="336,4 (2)",M54="336,4 (1/0)",M54="336,4 (4/0)"),VLOOKUP(M54,mT!$AF$31:$AG$34,2,FALSE),""))))))</f>
        <v/>
      </c>
      <c r="P54" s="65"/>
      <c r="Q54" s="309" t="str">
        <f t="shared" si="15"/>
        <v/>
      </c>
      <c r="R54" s="309" t="str">
        <f>IF(Q54="","",SUM($Q$20:Q54))</f>
        <v/>
      </c>
      <c r="S54" s="309" t="str">
        <f t="shared" si="16"/>
        <v/>
      </c>
      <c r="T54" s="310" t="str">
        <f>IF(OR(N54="a",O54="a"),VLOOKUP("a",'Características dos Cabos'!$D$25:$L$29,9),IF(OR(N54="b",N54="c",O54="b",O54="c"),VLOOKUP("b",'Características dos Cabos'!$D$25:$L$29,9),IF(OR(N54="d",N54="e",O54="d",O54="e"),VLOOKUP("c",'Características dos Cabos'!$D$25:$L$29,9),IF(OR(N54="f",N54="g",N54="h",O54="f",O54="g",O54="h"),VLOOKUP("d",'Características dos Cabos'!$D$25:$L$29,9),IF(OR(N54="i",N54="j",N54="l",N54="m",O54="i",O55="j",O55="l",O55="m"),VLOOKUP("e",'Características dos Cabos'!$D$25:$L$29,9),"")))))</f>
        <v/>
      </c>
      <c r="U54" s="310" t="str">
        <f>IF(OR(N54="a",O54="a"),VLOOKUP("a",'Características dos Cabos'!$D$14:$K$18,8),IF(OR(N54="b",N54="c",O54="b",O54="c"),VLOOKUP("b",'Características dos Cabos'!$D$14:$K$18,8),IF(OR(N54="d",N54="e",O54="d",O54="e"),VLOOKUP("c",'Características dos Cabos'!$D$14:$K$18,8),IF(OR(N54="f",N54="g",N54="h",O54="f",O54="g",O54="h"),VLOOKUP("d",'Características dos Cabos'!$D$14:$K$18,8),IF(OR(N54="i",N54="j",N54="l",N54="m",O54="i",O55="j",O55="l",O55="m"),VLOOKUP("e",'Características dos Cabos'!$D$14:$K$18,8),"")))))</f>
        <v/>
      </c>
      <c r="V54" s="310" t="str">
        <f t="shared" si="17"/>
        <v/>
      </c>
      <c r="W54" s="309" t="str">
        <f t="shared" si="18"/>
        <v/>
      </c>
      <c r="X54" s="359" t="str">
        <f>IF(OR(N54="a",O54="a"),VLOOKUP("a",'Características dos Cabos'!$D$25:$L$29,3),IF(OR(N54="b",N54="c",O54="b",O54="c"),VLOOKUP("b",'Características dos Cabos'!$D$25:$L$29,3),IF(OR(N54="d",N54="e",O54="d",O54="e"),VLOOKUP("c",'Características dos Cabos'!$D$25:$L$29,3),IF(OR(N54="f",N54="g",N54="h",O54="f",O54="g",O54="h"),VLOOKUP("d",'Características dos Cabos'!$D$25:$L$29,3),IF(OR(N54="i",N54="j",N54="l",N54="m",O54="i",O54="j",O54="l",O54="m"),VLOOKUP("e",'Características dos Cabos'!$D$25:$L$29,3),"")))))</f>
        <v/>
      </c>
      <c r="Y54" s="359" t="str">
        <f>IF(OR(N54="a",O54="a"),VLOOKUP("a",'Características dos Cabos'!$D$14:$K$18,4),IF(OR(N54="b",N54="c",O54="b",O54="c"),VLOOKUP("b",'Características dos Cabos'!$D$14:$K$18,4),IF(OR(N54="d",N54="e",O54="d",O54="e"),VLOOKUP("c",'Características dos Cabos'!$D$14:$K$18,4),IF(OR(N54="f",N54="g",N54="h",O54="f",O54="g",O54="h"),VLOOKUP("d",'Características dos Cabos'!$D$14:$K$18,4),IF(OR(N54="i",N54="j",N54="l",N54="m",O54="i",O54="j",O54="l",O54="m"),VLOOKUP("e",'Características dos Cabos'!$D$14:$K$18,4),"")))))</f>
        <v/>
      </c>
      <c r="Z54" s="310" t="str">
        <f t="shared" si="19"/>
        <v/>
      </c>
      <c r="AA54" s="311" t="str">
        <f t="shared" si="20"/>
        <v/>
      </c>
      <c r="AB54" s="354"/>
      <c r="AC54" s="357">
        <f t="shared" si="21"/>
        <v>0</v>
      </c>
      <c r="AD54" s="357">
        <f t="shared" si="22"/>
        <v>0</v>
      </c>
      <c r="AE54" s="354"/>
    </row>
    <row r="55" spans="1:31" ht="13.5" customHeight="1" thickTop="1" thickBot="1" x14ac:dyDescent="0.3">
      <c r="A55" s="106"/>
      <c r="B55" s="637"/>
      <c r="C55" s="80"/>
      <c r="D55" s="81"/>
      <c r="E55" s="82"/>
      <c r="F55" s="45" t="str">
        <f t="shared" si="3"/>
        <v/>
      </c>
      <c r="G55" s="65"/>
      <c r="H55" s="358" t="str">
        <f>IF(AND(E55="",G55=""),"",SUM(F55:G56))</f>
        <v/>
      </c>
      <c r="I55" s="307" t="str">
        <f>IF(OR(L55="",M55=""),"",IF(L55="3",VLOOKUP(N55,'K% (Rede Convencional)'!$B$18:$H$29,5),(IF(L55="2",VLOOKUP(O55,'K% (Rede Convencional)'!$B$18:$H$29,6),(IF(L55="1",VLOOKUP(O55,'K% (Rede Convencional)'!$B$18:$H$29,7)))))))</f>
        <v/>
      </c>
      <c r="J55" s="307" t="str">
        <f>IF(OR(L55="",M55=""),"",IF(L55="3",VLOOKUP(N55,'K% (Rede Convencional)'!$B$18:$E$29,2),(IF(L55="2",VLOOKUP(O55,'K% (Rede Convencional)'!$B$18:$E$29,3),(IF(L55="1",VLOOKUP(O55,'K% (Rede Convencional)'!$B$18:$E$29,4)))))))</f>
        <v/>
      </c>
      <c r="K55" s="307" t="str">
        <f t="shared" si="14"/>
        <v/>
      </c>
      <c r="L55" s="93"/>
      <c r="M55" s="93"/>
      <c r="N55" s="89">
        <f t="shared" si="10"/>
        <v>0</v>
      </c>
      <c r="O55" s="92" t="str">
        <f>IF(M55="","",IF(M55="4 (4)","a",IF(OR(M55="2 (4)",M55="2 (2)"),VLOOKUP(M55,mT!$AF$21:$AG$22,2,FALSE),IF(OR(M55="1/0 (4)",M55="1/0 (2)"),VLOOKUP(M55,mT!$AF$24:$AG$25,2,FALSE),IF(OR(M55="4/0 (4)",M55="4/0 (2)",M55="4/0 (1/0)"),VLOOKUP(M55,mT!$AF$27:$AG$29,2,FALSE),IF(OR(M55="336,4 (4)",M55="336,4 (2)",M55="336,4 (1/0)",M55="336,4 (4/0)"),VLOOKUP(M55,mT!$AF$31:$AG$34,2,FALSE),""))))))</f>
        <v/>
      </c>
      <c r="P55" s="65"/>
      <c r="Q55" s="309" t="str">
        <f t="shared" si="15"/>
        <v/>
      </c>
      <c r="R55" s="309" t="str">
        <f>IF(Q55="","",SUM($Q$20:Q55))</f>
        <v/>
      </c>
      <c r="S55" s="309" t="str">
        <f t="shared" si="16"/>
        <v/>
      </c>
      <c r="T55" s="310" t="str">
        <f>IF(OR(N55="a",O55="a"),VLOOKUP("a",'Características dos Cabos'!$D$25:$L$29,9),IF(OR(N55="b",N55="c",O55="b",O55="c"),VLOOKUP("b",'Características dos Cabos'!$D$25:$L$29,9),IF(OR(N55="d",N55="e",O55="d",O55="e"),VLOOKUP("c",'Características dos Cabos'!$D$25:$L$29,9),IF(OR(N55="f",N55="g",N55="h",O55="f",O55="g",O55="h"),VLOOKUP("d",'Características dos Cabos'!$D$25:$L$29,9),IF(OR(N55="i",N55="j",N55="l",N55="m",O55="i",O56="j",O56="l",O56="m"),VLOOKUP("e",'Características dos Cabos'!$D$25:$L$29,9),"")))))</f>
        <v/>
      </c>
      <c r="U55" s="310" t="str">
        <f>IF(OR(N55="a",O55="a"),VLOOKUP("a",'Características dos Cabos'!$D$14:$K$18,8),IF(OR(N55="b",N55="c",O55="b",O55="c"),VLOOKUP("b",'Características dos Cabos'!$D$14:$K$18,8),IF(OR(N55="d",N55="e",O55="d",O55="e"),VLOOKUP("c",'Características dos Cabos'!$D$14:$K$18,8),IF(OR(N55="f",N55="g",N55="h",O55="f",O55="g",O55="h"),VLOOKUP("d",'Características dos Cabos'!$D$14:$K$18,8),IF(OR(N55="i",N55="j",N55="l",N55="m",O55="i",O56="j",O56="l",O56="m"),VLOOKUP("e",'Características dos Cabos'!$D$14:$K$18,8),"")))))</f>
        <v/>
      </c>
      <c r="V55" s="310" t="str">
        <f t="shared" si="17"/>
        <v/>
      </c>
      <c r="W55" s="309" t="str">
        <f t="shared" si="18"/>
        <v/>
      </c>
      <c r="X55" s="359" t="str">
        <f>IF(OR(N55="a",O55="a"),VLOOKUP("a",'Características dos Cabos'!$D$25:$L$29,3),IF(OR(N55="b",N55="c",O55="b",O55="c"),VLOOKUP("b",'Características dos Cabos'!$D$25:$L$29,3),IF(OR(N55="d",N55="e",O55="d",O55="e"),VLOOKUP("c",'Características dos Cabos'!$D$25:$L$29,3),IF(OR(N55="f",N55="g",N55="h",O55="f",O55="g",O55="h"),VLOOKUP("d",'Características dos Cabos'!$D$25:$L$29,3),IF(OR(N55="i",N55="j",N55="l",N55="m",O55="i",O55="j",O55="l",O55="m"),VLOOKUP("e",'Características dos Cabos'!$D$25:$L$29,3),"")))))</f>
        <v/>
      </c>
      <c r="Y55" s="359" t="str">
        <f>IF(OR(N55="a",O55="a"),VLOOKUP("a",'Características dos Cabos'!$D$14:$K$18,4),IF(OR(N55="b",N55="c",O55="b",O55="c"),VLOOKUP("b",'Características dos Cabos'!$D$14:$K$18,4),IF(OR(N55="d",N55="e",O55="d",O55="e"),VLOOKUP("c",'Características dos Cabos'!$D$14:$K$18,4),IF(OR(N55="f",N55="g",N55="h",O55="f",O55="g",O55="h"),VLOOKUP("d",'Características dos Cabos'!$D$14:$K$18,4),IF(OR(N55="i",N55="j",N55="l",N55="m",O55="i",O55="j",O55="l",O55="m"),VLOOKUP("e",'Características dos Cabos'!$D$14:$K$18,4),"")))))</f>
        <v/>
      </c>
      <c r="Z55" s="310" t="str">
        <f t="shared" si="19"/>
        <v/>
      </c>
      <c r="AA55" s="311" t="str">
        <f t="shared" si="20"/>
        <v/>
      </c>
      <c r="AB55" s="354"/>
      <c r="AC55" s="357">
        <f t="shared" si="21"/>
        <v>0</v>
      </c>
      <c r="AD55" s="357">
        <f t="shared" si="22"/>
        <v>0</v>
      </c>
      <c r="AE55" s="354"/>
    </row>
    <row r="56" spans="1:31" ht="13.5" customHeight="1" thickTop="1" thickBot="1" x14ac:dyDescent="0.3">
      <c r="A56" s="106"/>
      <c r="B56" s="638"/>
      <c r="C56" s="83"/>
      <c r="D56" s="84"/>
      <c r="E56" s="85"/>
      <c r="F56" s="45" t="str">
        <f t="shared" si="3"/>
        <v/>
      </c>
      <c r="G56" s="66"/>
      <c r="H56" s="360" t="str">
        <f>IF(AND(E56="",G56=""),"",SUM(F56:G56))</f>
        <v/>
      </c>
      <c r="I56" s="329" t="str">
        <f>IF(OR(L56="",M56=""),"",IF(L56="3",VLOOKUP(N56,'K% (Rede Convencional)'!$B$18:$H$29,5),(IF(L56="2",VLOOKUP(O56,'K% (Rede Convencional)'!$B$18:$H$29,6),(IF(L56="1",VLOOKUP(O56,'K% (Rede Convencional)'!$B$18:$H$29,7)))))))</f>
        <v/>
      </c>
      <c r="J56" s="329" t="str">
        <f>IF(OR(L56="",M56=""),"",IF(L56="3",VLOOKUP(N56,'K% (Rede Convencional)'!$B$18:$E$29,2),(IF(L56="2",VLOOKUP(O56,'K% (Rede Convencional)'!$B$18:$E$29,3),(IF(L56="1",VLOOKUP(O56,'K% (Rede Convencional)'!$B$18:$E$29,4)))))))</f>
        <v/>
      </c>
      <c r="K56" s="329" t="str">
        <f t="shared" si="14"/>
        <v/>
      </c>
      <c r="L56" s="94"/>
      <c r="M56" s="94"/>
      <c r="N56" s="91">
        <f t="shared" si="10"/>
        <v>0</v>
      </c>
      <c r="O56" s="92" t="str">
        <f>IF(M56="","",IF(M56="4 (4)","a",IF(OR(M56="2 (4)",M56="2 (2)"),VLOOKUP(M56,mT!$AF$21:$AG$22,2,FALSE),IF(OR(M56="1/0 (4)",M56="1/0 (2)"),VLOOKUP(M56,mT!$AF$24:$AG$25,2,FALSE),IF(OR(M56="4/0 (4)",M56="4/0 (2)",M56="4/0 (1/0)"),VLOOKUP(M56,mT!$AF$27:$AG$29,2,FALSE),IF(OR(M56="336,4 (4)",M56="336,4 (2)",M56="336,4 (1/0)",M56="336,4 (4/0)"),VLOOKUP(M56,mT!$AF$31:$AG$34,2,FALSE),""))))))</f>
        <v/>
      </c>
      <c r="P56" s="66"/>
      <c r="Q56" s="331" t="str">
        <f t="shared" si="15"/>
        <v/>
      </c>
      <c r="R56" s="331" t="str">
        <f>IF(Q56="","",SUM($Q$20:Q56))</f>
        <v/>
      </c>
      <c r="S56" s="331" t="str">
        <f t="shared" si="16"/>
        <v/>
      </c>
      <c r="T56" s="332" t="str">
        <f>IF(OR(N56="a",O56="a"),VLOOKUP("a",'Características dos Cabos'!$D$25:$L$29,9),IF(OR(N56="b",N56="c",O56="b",O56="c"),VLOOKUP("b",'Características dos Cabos'!$D$25:$L$29,9),IF(OR(N56="d",N56="e",O56="d",O56="e"),VLOOKUP("c",'Características dos Cabos'!$D$25:$L$29,9),IF(OR(N56="f",N56="g",N56="h",O56="f",O56="g",O56="h"),VLOOKUP("d",'Características dos Cabos'!$D$25:$L$29,9),IF(OR(N56="i",N56="j",N56="l",N56="m",O56="i",O81="j",O81="l",O81="m"),VLOOKUP("e",'Características dos Cabos'!$D$25:$L$29,9),"")))))</f>
        <v/>
      </c>
      <c r="U56" s="332" t="str">
        <f>IF(OR(N56="a",O56="a"),VLOOKUP("a",'Características dos Cabos'!$D$14:$K$18,8),IF(OR(N56="b",N56="c",O56="b",O56="c"),VLOOKUP("b",'Características dos Cabos'!$D$14:$K$18,8),IF(OR(N56="d",N56="e",O56="d",O56="e"),VLOOKUP("c",'Características dos Cabos'!$D$14:$K$18,8),IF(OR(N56="f",N56="g",N56="h",O56="f",O56="g",O56="h"),VLOOKUP("d",'Características dos Cabos'!$D$14:$K$18,8),IF(OR(N56="i",N56="j",N56="l",N56="m",O56="i",O81="j",O81="l",O81="m"),VLOOKUP("e",'Características dos Cabos'!$D$14:$K$18,8),"")))))</f>
        <v/>
      </c>
      <c r="V56" s="332" t="str">
        <f t="shared" si="17"/>
        <v/>
      </c>
      <c r="W56" s="331" t="str">
        <f t="shared" si="18"/>
        <v/>
      </c>
      <c r="X56" s="361" t="str">
        <f>IF(OR(N56="a",O56="a"),VLOOKUP("a",'Características dos Cabos'!$D$25:$L$29,3),IF(OR(N56="b",N56="c",O56="b",O56="c"),VLOOKUP("b",'Características dos Cabos'!$D$25:$L$29,3),IF(OR(N56="d",N56="e",O56="d",O56="e"),VLOOKUP("c",'Características dos Cabos'!$D$25:$L$29,3),IF(OR(N56="f",N56="g",N56="h",O56="f",O56="g",O56="h"),VLOOKUP("d",'Características dos Cabos'!$D$25:$L$29,3),IF(OR(N56="i",N56="j",N56="l",N56="m",O56="i",O56="j",O56="l",O56="m"),VLOOKUP("e",'Características dos Cabos'!$D$25:$L$29,3),"")))))</f>
        <v/>
      </c>
      <c r="Y56" s="361" t="str">
        <f>IF(OR(N56="a",O56="a"),VLOOKUP("a",'Características dos Cabos'!$D$14:$K$18,4),IF(OR(N56="b",N56="c",O56="b",O56="c"),VLOOKUP("b",'Características dos Cabos'!$D$14:$K$18,4),IF(OR(N56="d",N56="e",O56="d",O56="e"),VLOOKUP("c",'Características dos Cabos'!$D$14:$K$18,4),IF(OR(N56="f",N56="g",N56="h",O56="f",O56="g",O56="h"),VLOOKUP("d",'Características dos Cabos'!$D$14:$K$18,4),IF(OR(N56="i",N56="j",N56="l",N56="m",O56="i",O56="j",O56="l",O56="m"),VLOOKUP("e",'Características dos Cabos'!$D$14:$K$18,4),"")))))</f>
        <v/>
      </c>
      <c r="Z56" s="332" t="str">
        <f t="shared" si="19"/>
        <v/>
      </c>
      <c r="AA56" s="333" t="str">
        <f t="shared" si="20"/>
        <v/>
      </c>
      <c r="AB56" s="354"/>
      <c r="AC56" s="357">
        <f t="shared" si="21"/>
        <v>0</v>
      </c>
      <c r="AD56" s="357">
        <f t="shared" si="22"/>
        <v>0</v>
      </c>
      <c r="AE56" s="354"/>
    </row>
    <row r="57" spans="1:31" ht="13.5" customHeight="1" thickTop="1" thickBot="1" x14ac:dyDescent="0.3">
      <c r="A57" s="106"/>
      <c r="B57" s="636" t="s">
        <v>236</v>
      </c>
      <c r="C57" s="69"/>
      <c r="D57" s="86"/>
      <c r="E57" s="78"/>
      <c r="F57" s="45" t="str">
        <f t="shared" si="3"/>
        <v/>
      </c>
      <c r="G57" s="79"/>
      <c r="H57" s="355" t="str">
        <f>IF(AND(E57="",G57=""),"",SUM(F57:G60))</f>
        <v/>
      </c>
      <c r="I57" s="321" t="str">
        <f>IF(OR(L57="",M57=""),"",IF(L57="3",VLOOKUP(N57,'K% (Rede Convencional)'!$B$18:$H$29,5),(IF(L57="2",VLOOKUP(O57,'K% (Rede Convencional)'!$B$18:$H$29,6),(IF(L57="1",VLOOKUP(O57,'K% (Rede Convencional)'!$B$18:$H$29,7)))))))</f>
        <v/>
      </c>
      <c r="J57" s="321" t="str">
        <f>IF(OR(L57="",M57=""),"",IF(L57="3",VLOOKUP(N57,'K% (Rede Convencional)'!$B$18:$E$29,2),(IF(L57="2",VLOOKUP(O57,'K% (Rede Convencional)'!$B$18:$E$29,3),(IF(L57="1",VLOOKUP(O57,'K% (Rede Convencional)'!$B$18:$E$29,4)))))))</f>
        <v/>
      </c>
      <c r="K57" s="321" t="str">
        <f t="shared" si="14"/>
        <v/>
      </c>
      <c r="L57" s="95"/>
      <c r="M57" s="95"/>
      <c r="N57" s="87">
        <f t="shared" si="10"/>
        <v>0</v>
      </c>
      <c r="O57" s="92" t="str">
        <f>IF(M57="","",IF(M57="4 (4)","a",IF(OR(M57="2 (4)",M57="2 (2)"),VLOOKUP(M57,mT!$AF$21:$AG$22,2,FALSE),IF(OR(M57="1/0 (4)",M57="1/0 (2)"),VLOOKUP(M57,mT!$AF$24:$AG$25,2,FALSE),IF(OR(M57="4/0 (4)",M57="4/0 (2)",M57="4/0 (1/0)"),VLOOKUP(M57,mT!$AF$27:$AG$29,2,FALSE),IF(OR(M57="336,4 (4)",M57="336,4 (2)",M57="336,4 (1/0)",M57="336,4 (4/0)"),VLOOKUP(M57,mT!$AF$31:$AG$34,2,FALSE),""))))))</f>
        <v/>
      </c>
      <c r="P57" s="79"/>
      <c r="Q57" s="322" t="str">
        <f t="shared" si="15"/>
        <v/>
      </c>
      <c r="R57" s="322" t="str">
        <f>IF(Q57="","",SUM($Q$20:Q57))</f>
        <v/>
      </c>
      <c r="S57" s="322" t="str">
        <f t="shared" si="16"/>
        <v/>
      </c>
      <c r="T57" s="323" t="str">
        <f>IF(OR(N57="a",O57="a"),VLOOKUP("a",'Características dos Cabos'!$D$25:$L$29,9),IF(OR(N57="b",N57="c",O57="b",O57="c"),VLOOKUP("b",'Características dos Cabos'!$D$25:$L$29,9),IF(OR(N57="d",N57="e",O57="d",O57="e"),VLOOKUP("c",'Características dos Cabos'!$D$25:$L$29,9),IF(OR(N57="f",N57="g",N57="h",O57="f",O57="g",O57="h"),VLOOKUP("d",'Características dos Cabos'!$D$25:$L$29,9),IF(OR(N57="i",N57="j",N57="l",N57="m",O57="i",O58="j",O58="l",O58="m"),VLOOKUP("e",'Características dos Cabos'!$D$25:$L$29,9),"")))))</f>
        <v/>
      </c>
      <c r="U57" s="323" t="str">
        <f>IF(OR(N57="a",O57="a"),VLOOKUP("a",'Características dos Cabos'!$D$14:$K$18,8),IF(OR(N57="b",N57="c",O57="b",O57="c"),VLOOKUP("b",'Características dos Cabos'!$D$14:$K$18,8),IF(OR(N57="d",N57="e",O57="d",O57="e"),VLOOKUP("c",'Características dos Cabos'!$D$14:$K$18,8),IF(OR(N57="f",N57="g",N57="h",O57="f",O57="g",O57="h"),VLOOKUP("d",'Características dos Cabos'!$D$14:$K$18,8),IF(OR(N57="i",N57="j",N57="l",N57="m",O57="i",O58="j",O58="l",O58="m"),VLOOKUP("e",'Características dos Cabos'!$D$14:$K$18,8),"")))))</f>
        <v/>
      </c>
      <c r="V57" s="323" t="str">
        <f t="shared" si="17"/>
        <v/>
      </c>
      <c r="W57" s="322" t="str">
        <f t="shared" si="18"/>
        <v/>
      </c>
      <c r="X57" s="356" t="str">
        <f>IF(OR(N57="a",O57="a"),VLOOKUP("a",'Características dos Cabos'!$D$25:$L$29,3),IF(OR(N57="b",N57="c",O57="b",O57="c"),VLOOKUP("b",'Características dos Cabos'!$D$25:$L$29,3),IF(OR(N57="d",N57="e",O57="d",O57="e"),VLOOKUP("c",'Características dos Cabos'!$D$25:$L$29,3),IF(OR(N57="f",N57="g",N57="h",O57="f",O57="g",O57="h"),VLOOKUP("d",'Características dos Cabos'!$D$25:$L$29,3),IF(OR(N57="i",N57="j",N57="l",N57="m",O57="i",O57="j",O57="l",O57="m"),VLOOKUP("e",'Características dos Cabos'!$D$25:$L$29,3),"")))))</f>
        <v/>
      </c>
      <c r="Y57" s="356" t="str">
        <f>IF(OR(N57="a",O57="a"),VLOOKUP("a",'Características dos Cabos'!$D$14:$K$18,4),IF(OR(N57="b",N57="c",O57="b",O57="c"),VLOOKUP("b",'Características dos Cabos'!$D$14:$K$18,4),IF(OR(N57="d",N57="e",O57="d",O57="e"),VLOOKUP("c",'Características dos Cabos'!$D$14:$K$18,4),IF(OR(N57="f",N57="g",N57="h",O57="f",O57="g",O57="h"),VLOOKUP("d",'Características dos Cabos'!$D$14:$K$18,4),IF(OR(N57="i",N57="j",N57="l",N57="m",O57="i",O57="j",O57="l",O57="m"),VLOOKUP("e",'Características dos Cabos'!$D$14:$K$18,4),"")))))</f>
        <v/>
      </c>
      <c r="Z57" s="323" t="str">
        <f t="shared" si="19"/>
        <v/>
      </c>
      <c r="AA57" s="324" t="str">
        <f t="shared" si="20"/>
        <v/>
      </c>
      <c r="AB57" s="367" t="e">
        <f>VLOOKUP(C57,$D$21:$R$35,12,FALSE)</f>
        <v>#N/A</v>
      </c>
      <c r="AC57" s="357">
        <f t="shared" si="21"/>
        <v>0</v>
      </c>
      <c r="AD57" s="357">
        <f t="shared" si="22"/>
        <v>0</v>
      </c>
      <c r="AE57" s="354"/>
    </row>
    <row r="58" spans="1:31" ht="14.25" customHeight="1" thickTop="1" thickBot="1" x14ac:dyDescent="0.3">
      <c r="A58" s="106"/>
      <c r="B58" s="637"/>
      <c r="C58" s="80"/>
      <c r="D58" s="81"/>
      <c r="E58" s="82"/>
      <c r="F58" s="45" t="str">
        <f t="shared" si="3"/>
        <v/>
      </c>
      <c r="G58" s="65"/>
      <c r="H58" s="358" t="str">
        <f>IF(AND(E58="",G58=""),"",SUM(F58:G60))</f>
        <v/>
      </c>
      <c r="I58" s="307" t="str">
        <f>IF(OR(L58="",M58=""),"",IF(L58="3",VLOOKUP(N58,'K% (Rede Convencional)'!$B$18:$H$29,5),(IF(L58="2",VLOOKUP(O58,'K% (Rede Convencional)'!$B$18:$H$29,6),(IF(L58="1",VLOOKUP(O58,'K% (Rede Convencional)'!$B$18:$H$29,7)))))))</f>
        <v/>
      </c>
      <c r="J58" s="307" t="str">
        <f>IF(OR(L58="",M58=""),"",IF(L58="3",VLOOKUP(N58,'K% (Rede Convencional)'!$B$18:$E$29,2),(IF(L58="2",VLOOKUP(O58,'K% (Rede Convencional)'!$B$18:$E$29,3),(IF(L58="1",VLOOKUP(O58,'K% (Rede Convencional)'!$B$18:$E$29,4)))))))</f>
        <v/>
      </c>
      <c r="K58" s="307" t="str">
        <f t="shared" si="14"/>
        <v/>
      </c>
      <c r="L58" s="93"/>
      <c r="M58" s="93"/>
      <c r="N58" s="89">
        <f t="shared" si="10"/>
        <v>0</v>
      </c>
      <c r="O58" s="92" t="str">
        <f>IF(M58="","",IF(M58="4 (4)","a",IF(OR(M58="2 (4)",M58="2 (2)"),VLOOKUP(M58,mT!$AF$21:$AG$22,2,FALSE),IF(OR(M58="1/0 (4)",M58="1/0 (2)"),VLOOKUP(M58,mT!$AF$24:$AG$25,2,FALSE),IF(OR(M58="4/0 (4)",M58="4/0 (2)",M58="4/0 (1/0)"),VLOOKUP(M58,mT!$AF$27:$AG$29,2,FALSE),IF(OR(M58="336,4 (4)",M58="336,4 (2)",M58="336,4 (1/0)",M58="336,4 (4/0)"),VLOOKUP(M58,mT!$AF$31:$AG$34,2,FALSE),""))))))</f>
        <v/>
      </c>
      <c r="P58" s="65"/>
      <c r="Q58" s="309" t="str">
        <f t="shared" si="15"/>
        <v/>
      </c>
      <c r="R58" s="309" t="str">
        <f>IF(Q58="","",SUM($Q$20:Q58))</f>
        <v/>
      </c>
      <c r="S58" s="309" t="str">
        <f t="shared" si="16"/>
        <v/>
      </c>
      <c r="T58" s="310" t="str">
        <f>IF(OR(N58="a",O58="a"),VLOOKUP("a",'Características dos Cabos'!$D$25:$L$29,9),IF(OR(N58="b",N58="c",O58="b",O58="c"),VLOOKUP("b",'Características dos Cabos'!$D$25:$L$29,9),IF(OR(N58="d",N58="e",O58="d",O58="e"),VLOOKUP("c",'Características dos Cabos'!$D$25:$L$29,9),IF(OR(N58="f",N58="g",N58="h",O58="f",O58="g",O58="h"),VLOOKUP("d",'Características dos Cabos'!$D$25:$L$29,9),IF(OR(N58="i",N58="j",N58="l",N58="m",O58="i",O59="j",O59="l",O59="m"),VLOOKUP("e",'Características dos Cabos'!$D$25:$L$29,9),"")))))</f>
        <v/>
      </c>
      <c r="U58" s="310" t="str">
        <f>IF(OR(N58="a",O58="a"),VLOOKUP("a",'Características dos Cabos'!$D$14:$K$18,8),IF(OR(N58="b",N58="c",O58="b",O58="c"),VLOOKUP("b",'Características dos Cabos'!$D$14:$K$18,8),IF(OR(N58="d",N58="e",O58="d",O58="e"),VLOOKUP("c",'Características dos Cabos'!$D$14:$K$18,8),IF(OR(N58="f",N58="g",N58="h",O58="f",O58="g",O58="h"),VLOOKUP("d",'Características dos Cabos'!$D$14:$K$18,8),IF(OR(N58="i",N58="j",N58="l",N58="m",O58="i",O59="j",O59="l",O59="m"),VLOOKUP("e",'Características dos Cabos'!$D$14:$K$18,8),"")))))</f>
        <v/>
      </c>
      <c r="V58" s="310" t="str">
        <f t="shared" si="17"/>
        <v/>
      </c>
      <c r="W58" s="309" t="str">
        <f t="shared" si="18"/>
        <v/>
      </c>
      <c r="X58" s="359" t="str">
        <f>IF(OR(N58="a",O58="a"),VLOOKUP("a",'Características dos Cabos'!$D$25:$L$29,3),IF(OR(N58="b",N58="c",O58="b",O58="c"),VLOOKUP("b",'Características dos Cabos'!$D$25:$L$29,3),IF(OR(N58="d",N58="e",O58="d",O58="e"),VLOOKUP("c",'Características dos Cabos'!$D$25:$L$29,3),IF(OR(N58="f",N58="g",N58="h",O58="f",O58="g",O58="h"),VLOOKUP("d",'Características dos Cabos'!$D$25:$L$29,3),IF(OR(N58="i",N58="j",N58="l",N58="m",O58="i",O58="j",O58="l",O58="m"),VLOOKUP("e",'Características dos Cabos'!$D$25:$L$29,3),"")))))</f>
        <v/>
      </c>
      <c r="Y58" s="359" t="str">
        <f>IF(OR(N58="a",O58="a"),VLOOKUP("a",'Características dos Cabos'!$D$14:$K$18,4),IF(OR(N58="b",N58="c",O58="b",O58="c"),VLOOKUP("b",'Características dos Cabos'!$D$14:$K$18,4),IF(OR(N58="d",N58="e",O58="d",O58="e"),VLOOKUP("c",'Características dos Cabos'!$D$14:$K$18,4),IF(OR(N58="f",N58="g",N58="h",O58="f",O58="g",O58="h"),VLOOKUP("d",'Características dos Cabos'!$D$14:$K$18,4),IF(OR(N58="i",N58="j",N58="l",N58="m",O58="i",O58="j",O58="l",O58="m"),VLOOKUP("e",'Características dos Cabos'!$D$14:$K$18,4),"")))))</f>
        <v/>
      </c>
      <c r="Z58" s="310" t="str">
        <f t="shared" si="19"/>
        <v/>
      </c>
      <c r="AA58" s="311" t="str">
        <f t="shared" si="20"/>
        <v/>
      </c>
      <c r="AB58" s="354"/>
      <c r="AC58" s="357">
        <f t="shared" si="21"/>
        <v>0</v>
      </c>
      <c r="AD58" s="357">
        <f t="shared" si="22"/>
        <v>0</v>
      </c>
      <c r="AE58" s="354"/>
    </row>
    <row r="59" spans="1:31" ht="13.5" customHeight="1" thickTop="1" thickBot="1" x14ac:dyDescent="0.3">
      <c r="A59" s="106"/>
      <c r="B59" s="637"/>
      <c r="C59" s="80"/>
      <c r="D59" s="81"/>
      <c r="E59" s="82"/>
      <c r="F59" s="45" t="str">
        <f t="shared" si="3"/>
        <v/>
      </c>
      <c r="G59" s="65"/>
      <c r="H59" s="358" t="str">
        <f>IF(AND(E59="",G59=""),"",SUM(F59:G60))</f>
        <v/>
      </c>
      <c r="I59" s="307" t="str">
        <f>IF(OR(L59="",M59=""),"",IF(L59="3",VLOOKUP(N59,'K% (Rede Convencional)'!$B$18:$H$29,5),(IF(L59="2",VLOOKUP(O59,'K% (Rede Convencional)'!$B$18:$H$29,6),(IF(L59="1",VLOOKUP(O59,'K% (Rede Convencional)'!$B$18:$H$29,7)))))))</f>
        <v/>
      </c>
      <c r="J59" s="307" t="str">
        <f>IF(OR(L59="",M59=""),"",IF(L59="3",VLOOKUP(N59,'K% (Rede Convencional)'!$B$18:$E$29,2),(IF(L59="2",VLOOKUP(O59,'K% (Rede Convencional)'!$B$18:$E$29,3),(IF(L59="1",VLOOKUP(O59,'K% (Rede Convencional)'!$B$18:$E$29,4)))))))</f>
        <v/>
      </c>
      <c r="K59" s="307" t="str">
        <f t="shared" si="14"/>
        <v/>
      </c>
      <c r="L59" s="93"/>
      <c r="M59" s="93"/>
      <c r="N59" s="89">
        <f t="shared" si="10"/>
        <v>0</v>
      </c>
      <c r="O59" s="92" t="str">
        <f>IF(M59="","",IF(M59="4 (4)","a",IF(OR(M59="2 (4)",M59="2 (2)"),VLOOKUP(M59,mT!$AF$21:$AG$22,2,FALSE),IF(OR(M59="1/0 (4)",M59="1/0 (2)"),VLOOKUP(M59,mT!$AF$24:$AG$25,2,FALSE),IF(OR(M59="4/0 (4)",M59="4/0 (2)",M59="4/0 (1/0)"),VLOOKUP(M59,mT!$AF$27:$AG$29,2,FALSE),IF(OR(M59="336,4 (4)",M59="336,4 (2)",M59="336,4 (1/0)",M59="336,4 (4/0)"),VLOOKUP(M59,mT!$AF$31:$AG$34,2,FALSE),""))))))</f>
        <v/>
      </c>
      <c r="P59" s="65"/>
      <c r="Q59" s="309" t="str">
        <f t="shared" si="15"/>
        <v/>
      </c>
      <c r="R59" s="309" t="str">
        <f>IF(Q59="","",SUM($Q$20:Q59))</f>
        <v/>
      </c>
      <c r="S59" s="309" t="str">
        <f t="shared" si="16"/>
        <v/>
      </c>
      <c r="T59" s="310" t="str">
        <f>IF(OR(N59="a",O59="a"),VLOOKUP("a",'Características dos Cabos'!$D$25:$L$29,9),IF(OR(N59="b",N59="c",O59="b",O59="c"),VLOOKUP("b",'Características dos Cabos'!$D$25:$L$29,9),IF(OR(N59="d",N59="e",O59="d",O59="e"),VLOOKUP("c",'Características dos Cabos'!$D$25:$L$29,9),IF(OR(N59="f",N59="g",N59="h",O59="f",O59="g",O59="h"),VLOOKUP("d",'Características dos Cabos'!$D$25:$L$29,9),IF(OR(N59="i",N59="j",N59="l",N59="m",O59="i",O60="j",O60="l",O60="m"),VLOOKUP("e",'Características dos Cabos'!$D$25:$L$29,9),"")))))</f>
        <v/>
      </c>
      <c r="U59" s="310" t="str">
        <f>IF(OR(N59="a",O59="a"),VLOOKUP("a",'Características dos Cabos'!$D$14:$K$18,8),IF(OR(N59="b",N59="c",O59="b",O59="c"),VLOOKUP("b",'Características dos Cabos'!$D$14:$K$18,8),IF(OR(N59="d",N59="e",O59="d",O59="e"),VLOOKUP("c",'Características dos Cabos'!$D$14:$K$18,8),IF(OR(N59="f",N59="g",N59="h",O59="f",O59="g",O59="h"),VLOOKUP("d",'Características dos Cabos'!$D$14:$K$18,8),IF(OR(N59="i",N59="j",N59="l",N59="m",O59="i",O60="j",O60="l",O60="m"),VLOOKUP("e",'Características dos Cabos'!$D$14:$K$18,8),"")))))</f>
        <v/>
      </c>
      <c r="V59" s="310" t="str">
        <f t="shared" si="17"/>
        <v/>
      </c>
      <c r="W59" s="309" t="str">
        <f t="shared" si="18"/>
        <v/>
      </c>
      <c r="X59" s="359" t="str">
        <f>IF(OR(N59="a",O59="a"),VLOOKUP("a",'Características dos Cabos'!$D$25:$L$29,3),IF(OR(N59="b",N59="c",O59="b",O59="c"),VLOOKUP("b",'Características dos Cabos'!$D$25:$L$29,3),IF(OR(N59="d",N59="e",O59="d",O59="e"),VLOOKUP("c",'Características dos Cabos'!$D$25:$L$29,3),IF(OR(N59="f",N59="g",N59="h",O59="f",O59="g",O59="h"),VLOOKUP("d",'Características dos Cabos'!$D$25:$L$29,3),IF(OR(N59="i",N59="j",N59="l",N59="m",O59="i",O59="j",O59="l",O59="m"),VLOOKUP("e",'Características dos Cabos'!$D$25:$L$29,3),"")))))</f>
        <v/>
      </c>
      <c r="Y59" s="359" t="str">
        <f>IF(OR(N59="a",O59="a"),VLOOKUP("a",'Características dos Cabos'!$D$14:$K$18,4),IF(OR(N59="b",N59="c",O59="b",O59="c"),VLOOKUP("b",'Características dos Cabos'!$D$14:$K$18,4),IF(OR(N59="d",N59="e",O59="d",O59="e"),VLOOKUP("c",'Características dos Cabos'!$D$14:$K$18,4),IF(OR(N59="f",N59="g",N59="h",O59="f",O59="g",O59="h"),VLOOKUP("d",'Características dos Cabos'!$D$14:$K$18,4),IF(OR(N59="i",N59="j",N59="l",N59="m",O59="i",O59="j",O59="l",O59="m"),VLOOKUP("e",'Características dos Cabos'!$D$14:$K$18,4),"")))))</f>
        <v/>
      </c>
      <c r="Z59" s="310" t="str">
        <f t="shared" si="19"/>
        <v/>
      </c>
      <c r="AA59" s="311" t="str">
        <f t="shared" si="20"/>
        <v/>
      </c>
      <c r="AB59" s="354"/>
      <c r="AC59" s="357">
        <f t="shared" si="21"/>
        <v>0</v>
      </c>
      <c r="AD59" s="357">
        <f t="shared" si="22"/>
        <v>0</v>
      </c>
      <c r="AE59" s="354"/>
    </row>
    <row r="60" spans="1:31" ht="13.5" customHeight="1" thickTop="1" thickBot="1" x14ac:dyDescent="0.3">
      <c r="A60" s="106"/>
      <c r="B60" s="638"/>
      <c r="C60" s="83"/>
      <c r="D60" s="84"/>
      <c r="E60" s="85"/>
      <c r="F60" s="45" t="str">
        <f t="shared" si="3"/>
        <v/>
      </c>
      <c r="G60" s="66"/>
      <c r="H60" s="360" t="str">
        <f>IF(AND(E60="",G60=""),"",SUM(F60:G60))</f>
        <v/>
      </c>
      <c r="I60" s="329" t="str">
        <f>IF(OR(L60="",M60=""),"",IF(L60="3",VLOOKUP(N60,'K% (Rede Convencional)'!$B$18:$H$29,5),(IF(L60="2",VLOOKUP(O60,'K% (Rede Convencional)'!$B$18:$H$29,6),(IF(L60="1",VLOOKUP(O60,'K% (Rede Convencional)'!$B$18:$H$29,7)))))))</f>
        <v/>
      </c>
      <c r="J60" s="329" t="str">
        <f>IF(OR(L60="",M60=""),"",IF(L60="3",VLOOKUP(N60,'K% (Rede Convencional)'!$B$18:$E$29,2),(IF(L60="2",VLOOKUP(O60,'K% (Rede Convencional)'!$B$18:$E$29,3),(IF(L60="1",VLOOKUP(O60,'K% (Rede Convencional)'!$B$18:$E$29,4)))))))</f>
        <v/>
      </c>
      <c r="K60" s="329" t="str">
        <f t="shared" si="14"/>
        <v/>
      </c>
      <c r="L60" s="94"/>
      <c r="M60" s="94"/>
      <c r="N60" s="91">
        <f t="shared" si="10"/>
        <v>0</v>
      </c>
      <c r="O60" s="92" t="str">
        <f>IF(M60="","",IF(M60="4 (4)","a",IF(OR(M60="2 (4)",M60="2 (2)"),VLOOKUP(M60,mT!$AF$21:$AG$22,2,FALSE),IF(OR(M60="1/0 (4)",M60="1/0 (2)"),VLOOKUP(M60,mT!$AF$24:$AG$25,2,FALSE),IF(OR(M60="4/0 (4)",M60="4/0 (2)",M60="4/0 (1/0)"),VLOOKUP(M60,mT!$AF$27:$AG$29,2,FALSE),IF(OR(M60="336,4 (4)",M60="336,4 (2)",M60="336,4 (1/0)",M60="336,4 (4/0)"),VLOOKUP(M60,mT!$AF$31:$AG$34,2,FALSE),""))))))</f>
        <v/>
      </c>
      <c r="P60" s="66"/>
      <c r="Q60" s="331" t="str">
        <f t="shared" si="15"/>
        <v/>
      </c>
      <c r="R60" s="331" t="str">
        <f>IF(Q60="","",SUM($Q$20:Q60))</f>
        <v/>
      </c>
      <c r="S60" s="331" t="str">
        <f t="shared" si="16"/>
        <v/>
      </c>
      <c r="T60" s="332" t="str">
        <f>IF(OR(N60="a",O60="a"),VLOOKUP("a",'Características dos Cabos'!$D$25:$L$29,9),IF(OR(N60="b",N60="c",O60="b",O60="c"),VLOOKUP("b",'Características dos Cabos'!$D$25:$L$29,9),IF(OR(N60="d",N60="e",O60="d",O60="e"),VLOOKUP("c",'Características dos Cabos'!$D$25:$L$29,9),IF(OR(N60="f",N60="g",N60="h",O60="f",O60="g",O60="h"),VLOOKUP("d",'Características dos Cabos'!$D$25:$L$29,9),IF(OR(N60="i",N60="j",N60="l",N60="m",O60="i",O85="j",O85="l",O85="m"),VLOOKUP("e",'Características dos Cabos'!$D$25:$L$29,9),"")))))</f>
        <v/>
      </c>
      <c r="U60" s="332" t="str">
        <f>IF(OR(N60="a",O60="a"),VLOOKUP("a",'Características dos Cabos'!$D$14:$K$18,8),IF(OR(N60="b",N60="c",O60="b",O60="c"),VLOOKUP("b",'Características dos Cabos'!$D$14:$K$18,8),IF(OR(N60="d",N60="e",O60="d",O60="e"),VLOOKUP("c",'Características dos Cabos'!$D$14:$K$18,8),IF(OR(N60="f",N60="g",N60="h",O60="f",O60="g",O60="h"),VLOOKUP("d",'Características dos Cabos'!$D$14:$K$18,8),IF(OR(N60="i",N60="j",N60="l",N60="m",O60="i",O85="j",O85="l",O85="m"),VLOOKUP("e",'Características dos Cabos'!$D$14:$K$18,8),"")))))</f>
        <v/>
      </c>
      <c r="V60" s="332" t="str">
        <f t="shared" si="17"/>
        <v/>
      </c>
      <c r="W60" s="331" t="str">
        <f t="shared" si="18"/>
        <v/>
      </c>
      <c r="X60" s="361" t="str">
        <f>IF(OR(N60="a",O60="a"),VLOOKUP("a",'Características dos Cabos'!$D$25:$L$29,3),IF(OR(N60="b",N60="c",O60="b",O60="c"),VLOOKUP("b",'Características dos Cabos'!$D$25:$L$29,3),IF(OR(N60="d",N60="e",O60="d",O60="e"),VLOOKUP("c",'Características dos Cabos'!$D$25:$L$29,3),IF(OR(N60="f",N60="g",N60="h",O60="f",O60="g",O60="h"),VLOOKUP("d",'Características dos Cabos'!$D$25:$L$29,3),IF(OR(N60="i",N60="j",N60="l",N60="m",O60="i",O60="j",O60="l",O60="m"),VLOOKUP("e",'Características dos Cabos'!$D$25:$L$29,3),"")))))</f>
        <v/>
      </c>
      <c r="Y60" s="361" t="str">
        <f>IF(OR(N60="a",O60="a"),VLOOKUP("a",'Características dos Cabos'!$D$14:$K$18,4),IF(OR(N60="b",N60="c",O60="b",O60="c"),VLOOKUP("b",'Características dos Cabos'!$D$14:$K$18,4),IF(OR(N60="d",N60="e",O60="d",O60="e"),VLOOKUP("c",'Características dos Cabos'!$D$14:$K$18,4),IF(OR(N60="f",N60="g",N60="h",O60="f",O60="g",O60="h"),VLOOKUP("d",'Características dos Cabos'!$D$14:$K$18,4),IF(OR(N60="i",N60="j",N60="l",N60="m",O60="i",O60="j",O60="l",O60="m"),VLOOKUP("e",'Características dos Cabos'!$D$14:$K$18,4),"")))))</f>
        <v/>
      </c>
      <c r="Z60" s="332" t="str">
        <f t="shared" si="19"/>
        <v/>
      </c>
      <c r="AA60" s="333" t="str">
        <f t="shared" si="20"/>
        <v/>
      </c>
      <c r="AB60" s="354"/>
      <c r="AC60" s="357">
        <f t="shared" si="21"/>
        <v>0</v>
      </c>
      <c r="AD60" s="357">
        <f t="shared" si="22"/>
        <v>0</v>
      </c>
      <c r="AE60" s="354"/>
    </row>
    <row r="61" spans="1:31" ht="13.5" customHeight="1" thickTop="1" thickBot="1" x14ac:dyDescent="0.3">
      <c r="A61" s="106"/>
      <c r="B61" s="636" t="s">
        <v>237</v>
      </c>
      <c r="C61" s="69"/>
      <c r="D61" s="86"/>
      <c r="E61" s="78"/>
      <c r="F61" s="45" t="str">
        <f t="shared" si="3"/>
        <v/>
      </c>
      <c r="G61" s="79"/>
      <c r="H61" s="355" t="str">
        <f>IF(AND(E61="",G61=""),"",SUM(F61:G64))</f>
        <v/>
      </c>
      <c r="I61" s="321" t="str">
        <f>IF(OR(L61="",M61=""),"",IF(L61="3",VLOOKUP(N61,'K% (Rede Convencional)'!$B$18:$H$29,5),(IF(L61="2",VLOOKUP(O61,'K% (Rede Convencional)'!$B$18:$H$29,6),(IF(L61="1",VLOOKUP(O61,'K% (Rede Convencional)'!$B$18:$H$29,7)))))))</f>
        <v/>
      </c>
      <c r="J61" s="321" t="str">
        <f>IF(OR(L61="",M61=""),"",IF(L61="3",VLOOKUP(N61,'K% (Rede Convencional)'!$B$18:$E$29,2),(IF(L61="2",VLOOKUP(O61,'K% (Rede Convencional)'!$B$18:$E$29,3),(IF(L61="1",VLOOKUP(O61,'K% (Rede Convencional)'!$B$18:$E$29,4)))))))</f>
        <v/>
      </c>
      <c r="K61" s="321" t="str">
        <f t="shared" si="14"/>
        <v/>
      </c>
      <c r="L61" s="95"/>
      <c r="M61" s="95"/>
      <c r="N61" s="87">
        <f t="shared" si="10"/>
        <v>0</v>
      </c>
      <c r="O61" s="92" t="str">
        <f>IF(M61="","",IF(M61="4 (4)","a",IF(OR(M61="2 (4)",M61="2 (2)"),VLOOKUP(M61,mT!$AF$21:$AG$22,2,FALSE),IF(OR(M61="1/0 (4)",M61="1/0 (2)"),VLOOKUP(M61,mT!$AF$24:$AG$25,2,FALSE),IF(OR(M61="4/0 (4)",M61="4/0 (2)",M61="4/0 (1/0)"),VLOOKUP(M61,mT!$AF$27:$AG$29,2,FALSE),IF(OR(M61="336,4 (4)",M61="336,4 (2)",M61="336,4 (1/0)",M61="336,4 (4/0)"),VLOOKUP(M61,mT!$AF$31:$AG$34,2,FALSE),""))))))</f>
        <v/>
      </c>
      <c r="P61" s="79"/>
      <c r="Q61" s="322" t="str">
        <f t="shared" si="15"/>
        <v/>
      </c>
      <c r="R61" s="322" t="str">
        <f>IF(Q61="","",SUM($Q$20:Q61))</f>
        <v/>
      </c>
      <c r="S61" s="322" t="str">
        <f t="shared" si="16"/>
        <v/>
      </c>
      <c r="T61" s="323" t="str">
        <f>IF(OR(N61="a",O61="a"),VLOOKUP("a",'Características dos Cabos'!$D$25:$L$29,9),IF(OR(N61="b",N61="c",O61="b",O61="c"),VLOOKUP("b",'Características dos Cabos'!$D$25:$L$29,9),IF(OR(N61="d",N61="e",O61="d",O61="e"),VLOOKUP("c",'Características dos Cabos'!$D$25:$L$29,9),IF(OR(N61="f",N61="g",N61="h",O61="f",O61="g",O61="h"),VLOOKUP("d",'Características dos Cabos'!$D$25:$L$29,9),IF(OR(N61="i",N61="j",N61="l",N61="m",O61="i",O62="j",O62="l",O62="m"),VLOOKUP("e",'Características dos Cabos'!$D$25:$L$29,9),"")))))</f>
        <v/>
      </c>
      <c r="U61" s="323" t="str">
        <f>IF(OR(N61="a",O61="a"),VLOOKUP("a",'Características dos Cabos'!$D$14:$K$18,8),IF(OR(N61="b",N61="c",O61="b",O61="c"),VLOOKUP("b",'Características dos Cabos'!$D$14:$K$18,8),IF(OR(N61="d",N61="e",O61="d",O61="e"),VLOOKUP("c",'Características dos Cabos'!$D$14:$K$18,8),IF(OR(N61="f",N61="g",N61="h",O61="f",O61="g",O61="h"),VLOOKUP("d",'Características dos Cabos'!$D$14:$K$18,8),IF(OR(N61="i",N61="j",N61="l",N61="m",O61="i",O62="j",O62="l",O62="m"),VLOOKUP("e",'Características dos Cabos'!$D$14:$K$18,8),"")))))</f>
        <v/>
      </c>
      <c r="V61" s="323" t="str">
        <f t="shared" si="17"/>
        <v/>
      </c>
      <c r="W61" s="322" t="str">
        <f t="shared" si="18"/>
        <v/>
      </c>
      <c r="X61" s="356" t="str">
        <f>IF(OR(N61="a",O61="a"),VLOOKUP("a",'Características dos Cabos'!$D$25:$L$29,3),IF(OR(N61="b",N61="c",O61="b",O61="c"),VLOOKUP("b",'Características dos Cabos'!$D$25:$L$29,3),IF(OR(N61="d",N61="e",O61="d",O61="e"),VLOOKUP("c",'Características dos Cabos'!$D$25:$L$29,3),IF(OR(N61="f",N61="g",N61="h",O61="f",O61="g",O61="h"),VLOOKUP("d",'Características dos Cabos'!$D$25:$L$29,3),IF(OR(N61="i",N61="j",N61="l",N61="m",O61="i",O61="j",O61="l",O61="m"),VLOOKUP("e",'Características dos Cabos'!$D$25:$L$29,3),"")))))</f>
        <v/>
      </c>
      <c r="Y61" s="356" t="str">
        <f>IF(OR(N61="a",O61="a"),VLOOKUP("a",'Características dos Cabos'!$D$14:$K$18,4),IF(OR(N61="b",N61="c",O61="b",O61="c"),VLOOKUP("b",'Características dos Cabos'!$D$14:$K$18,4),IF(OR(N61="d",N61="e",O61="d",O61="e"),VLOOKUP("c",'Características dos Cabos'!$D$14:$K$18,4),IF(OR(N61="f",N61="g",N61="h",O61="f",O61="g",O61="h"),VLOOKUP("d",'Características dos Cabos'!$D$14:$K$18,4),IF(OR(N61="i",N61="j",N61="l",N61="m",O61="i",O61="j",O61="l",O61="m"),VLOOKUP("e",'Características dos Cabos'!$D$14:$K$18,4),"")))))</f>
        <v/>
      </c>
      <c r="Z61" s="323" t="str">
        <f t="shared" si="19"/>
        <v/>
      </c>
      <c r="AA61" s="324" t="str">
        <f t="shared" si="20"/>
        <v/>
      </c>
      <c r="AB61" s="367" t="e">
        <f>VLOOKUP(C61,$D$21:$R$35,12,FALSE)</f>
        <v>#N/A</v>
      </c>
      <c r="AC61" s="357">
        <f t="shared" si="21"/>
        <v>0</v>
      </c>
      <c r="AD61" s="357">
        <f t="shared" si="22"/>
        <v>0</v>
      </c>
      <c r="AE61" s="354"/>
    </row>
    <row r="62" spans="1:31" ht="14.25" customHeight="1" thickTop="1" thickBot="1" x14ac:dyDescent="0.3">
      <c r="A62" s="106"/>
      <c r="B62" s="637"/>
      <c r="C62" s="80"/>
      <c r="D62" s="81"/>
      <c r="E62" s="82"/>
      <c r="F62" s="45" t="str">
        <f t="shared" si="3"/>
        <v/>
      </c>
      <c r="G62" s="65"/>
      <c r="H62" s="358" t="str">
        <f>IF(AND(E62="",G62=""),"",SUM(F62:G64))</f>
        <v/>
      </c>
      <c r="I62" s="307" t="str">
        <f>IF(OR(L62="",M62=""),"",IF(L62="3",VLOOKUP(N62,'K% (Rede Convencional)'!$B$18:$H$29,5),(IF(L62="2",VLOOKUP(O62,'K% (Rede Convencional)'!$B$18:$H$29,6),(IF(L62="1",VLOOKUP(O62,'K% (Rede Convencional)'!$B$18:$H$29,7)))))))</f>
        <v/>
      </c>
      <c r="J62" s="307" t="str">
        <f>IF(OR(L62="",M62=""),"",IF(L62="3",VLOOKUP(N62,'K% (Rede Convencional)'!$B$18:$E$29,2),(IF(L62="2",VLOOKUP(O62,'K% (Rede Convencional)'!$B$18:$E$29,3),(IF(L62="1",VLOOKUP(O62,'K% (Rede Convencional)'!$B$18:$E$29,4)))))))</f>
        <v/>
      </c>
      <c r="K62" s="307" t="str">
        <f t="shared" si="14"/>
        <v/>
      </c>
      <c r="L62" s="93"/>
      <c r="M62" s="93"/>
      <c r="N62" s="89">
        <f t="shared" si="10"/>
        <v>0</v>
      </c>
      <c r="O62" s="92" t="str">
        <f>IF(M62="","",IF(M62="4 (4)","a",IF(OR(M62="2 (4)",M62="2 (2)"),VLOOKUP(M62,mT!$AF$21:$AG$22,2,FALSE),IF(OR(M62="1/0 (4)",M62="1/0 (2)"),VLOOKUP(M62,mT!$AF$24:$AG$25,2,FALSE),IF(OR(M62="4/0 (4)",M62="4/0 (2)",M62="4/0 (1/0)"),VLOOKUP(M62,mT!$AF$27:$AG$29,2,FALSE),IF(OR(M62="336,4 (4)",M62="336,4 (2)",M62="336,4 (1/0)",M62="336,4 (4/0)"),VLOOKUP(M62,mT!$AF$31:$AG$34,2,FALSE),""))))))</f>
        <v/>
      </c>
      <c r="P62" s="65"/>
      <c r="Q62" s="309" t="str">
        <f t="shared" si="15"/>
        <v/>
      </c>
      <c r="R62" s="309" t="str">
        <f>IF(Q62="","",SUM($Q$20:Q62))</f>
        <v/>
      </c>
      <c r="S62" s="309" t="str">
        <f t="shared" si="16"/>
        <v/>
      </c>
      <c r="T62" s="310" t="str">
        <f>IF(OR(N62="a",O62="a"),VLOOKUP("a",'Características dos Cabos'!$D$25:$L$29,9),IF(OR(N62="b",N62="c",O62="b",O62="c"),VLOOKUP("b",'Características dos Cabos'!$D$25:$L$29,9),IF(OR(N62="d",N62="e",O62="d",O62="e"),VLOOKUP("c",'Características dos Cabos'!$D$25:$L$29,9),IF(OR(N62="f",N62="g",N62="h",O62="f",O62="g",O62="h"),VLOOKUP("d",'Características dos Cabos'!$D$25:$L$29,9),IF(OR(N62="i",N62="j",N62="l",N62="m",O62="i",O63="j",O63="l",O63="m"),VLOOKUP("e",'Características dos Cabos'!$D$25:$L$29,9),"")))))</f>
        <v/>
      </c>
      <c r="U62" s="310" t="str">
        <f>IF(OR(N62="a",O62="a"),VLOOKUP("a",'Características dos Cabos'!$D$14:$K$18,8),IF(OR(N62="b",N62="c",O62="b",O62="c"),VLOOKUP("b",'Características dos Cabos'!$D$14:$K$18,8),IF(OR(N62="d",N62="e",O62="d",O62="e"),VLOOKUP("c",'Características dos Cabos'!$D$14:$K$18,8),IF(OR(N62="f",N62="g",N62="h",O62="f",O62="g",O62="h"),VLOOKUP("d",'Características dos Cabos'!$D$14:$K$18,8),IF(OR(N62="i",N62="j",N62="l",N62="m",O62="i",O63="j",O63="l",O63="m"),VLOOKUP("e",'Características dos Cabos'!$D$14:$K$18,8),"")))))</f>
        <v/>
      </c>
      <c r="V62" s="310" t="str">
        <f t="shared" si="17"/>
        <v/>
      </c>
      <c r="W62" s="309" t="str">
        <f t="shared" si="18"/>
        <v/>
      </c>
      <c r="X62" s="359" t="str">
        <f>IF(OR(N62="a",O62="a"),VLOOKUP("a",'Características dos Cabos'!$D$25:$L$29,3),IF(OR(N62="b",N62="c",O62="b",O62="c"),VLOOKUP("b",'Características dos Cabos'!$D$25:$L$29,3),IF(OR(N62="d",N62="e",O62="d",O62="e"),VLOOKUP("c",'Características dos Cabos'!$D$25:$L$29,3),IF(OR(N62="f",N62="g",N62="h",O62="f",O62="g",O62="h"),VLOOKUP("d",'Características dos Cabos'!$D$25:$L$29,3),IF(OR(N62="i",N62="j",N62="l",N62="m",O62="i",O62="j",O62="l",O62="m"),VLOOKUP("e",'Características dos Cabos'!$D$25:$L$29,3),"")))))</f>
        <v/>
      </c>
      <c r="Y62" s="359" t="str">
        <f>IF(OR(N62="a",O62="a"),VLOOKUP("a",'Características dos Cabos'!$D$14:$K$18,4),IF(OR(N62="b",N62="c",O62="b",O62="c"),VLOOKUP("b",'Características dos Cabos'!$D$14:$K$18,4),IF(OR(N62="d",N62="e",O62="d",O62="e"),VLOOKUP("c",'Características dos Cabos'!$D$14:$K$18,4),IF(OR(N62="f",N62="g",N62="h",O62="f",O62="g",O62="h"),VLOOKUP("d",'Características dos Cabos'!$D$14:$K$18,4),IF(OR(N62="i",N62="j",N62="l",N62="m",O62="i",O62="j",O62="l",O62="m"),VLOOKUP("e",'Características dos Cabos'!$D$14:$K$18,4),"")))))</f>
        <v/>
      </c>
      <c r="Z62" s="310" t="str">
        <f t="shared" si="19"/>
        <v/>
      </c>
      <c r="AA62" s="311" t="str">
        <f t="shared" si="20"/>
        <v/>
      </c>
      <c r="AB62" s="354"/>
      <c r="AC62" s="357">
        <f t="shared" si="21"/>
        <v>0</v>
      </c>
      <c r="AD62" s="357">
        <f t="shared" si="22"/>
        <v>0</v>
      </c>
      <c r="AE62" s="354"/>
    </row>
    <row r="63" spans="1:31" ht="13.5" customHeight="1" thickTop="1" thickBot="1" x14ac:dyDescent="0.3">
      <c r="A63" s="106"/>
      <c r="B63" s="637"/>
      <c r="C63" s="80"/>
      <c r="D63" s="81"/>
      <c r="E63" s="82"/>
      <c r="F63" s="45" t="str">
        <f t="shared" si="3"/>
        <v/>
      </c>
      <c r="G63" s="65"/>
      <c r="H63" s="358" t="str">
        <f>IF(AND(E63="",G63=""),"",SUM(F63:G64))</f>
        <v/>
      </c>
      <c r="I63" s="307" t="str">
        <f>IF(OR(L63="",M63=""),"",IF(L63="3",VLOOKUP(N63,'K% (Rede Convencional)'!$B$18:$H$29,5),(IF(L63="2",VLOOKUP(O63,'K% (Rede Convencional)'!$B$18:$H$29,6),(IF(L63="1",VLOOKUP(O63,'K% (Rede Convencional)'!$B$18:$H$29,7)))))))</f>
        <v/>
      </c>
      <c r="J63" s="307" t="str">
        <f>IF(OR(L63="",M63=""),"",IF(L63="3",VLOOKUP(N63,'K% (Rede Convencional)'!$B$18:$E$29,2),(IF(L63="2",VLOOKUP(O63,'K% (Rede Convencional)'!$B$18:$E$29,3),(IF(L63="1",VLOOKUP(O63,'K% (Rede Convencional)'!$B$18:$E$29,4)))))))</f>
        <v/>
      </c>
      <c r="K63" s="307" t="str">
        <f t="shared" si="14"/>
        <v/>
      </c>
      <c r="L63" s="93"/>
      <c r="M63" s="93"/>
      <c r="N63" s="89">
        <f t="shared" si="10"/>
        <v>0</v>
      </c>
      <c r="O63" s="92" t="str">
        <f>IF(M63="","",IF(M63="4 (4)","a",IF(OR(M63="2 (4)",M63="2 (2)"),VLOOKUP(M63,mT!$AF$21:$AG$22,2,FALSE),IF(OR(M63="1/0 (4)",M63="1/0 (2)"),VLOOKUP(M63,mT!$AF$24:$AG$25,2,FALSE),IF(OR(M63="4/0 (4)",M63="4/0 (2)",M63="4/0 (1/0)"),VLOOKUP(M63,mT!$AF$27:$AG$29,2,FALSE),IF(OR(M63="336,4 (4)",M63="336,4 (2)",M63="336,4 (1/0)",M63="336,4 (4/0)"),VLOOKUP(M63,mT!$AF$31:$AG$34,2,FALSE),""))))))</f>
        <v/>
      </c>
      <c r="P63" s="65"/>
      <c r="Q63" s="309" t="str">
        <f t="shared" si="15"/>
        <v/>
      </c>
      <c r="R63" s="309" t="str">
        <f>IF(Q63="","",SUM($Q$20:Q63))</f>
        <v/>
      </c>
      <c r="S63" s="309" t="str">
        <f t="shared" si="16"/>
        <v/>
      </c>
      <c r="T63" s="310" t="str">
        <f>IF(OR(N63="a",O63="a"),VLOOKUP("a",'Características dos Cabos'!$D$25:$L$29,9),IF(OR(N63="b",N63="c",O63="b",O63="c"),VLOOKUP("b",'Características dos Cabos'!$D$25:$L$29,9),IF(OR(N63="d",N63="e",O63="d",O63="e"),VLOOKUP("c",'Características dos Cabos'!$D$25:$L$29,9),IF(OR(N63="f",N63="g",N63="h",O63="f",O63="g",O63="h"),VLOOKUP("d",'Características dos Cabos'!$D$25:$L$29,9),IF(OR(N63="i",N63="j",N63="l",N63="m",O63="i",O64="j",O64="l",O64="m"),VLOOKUP("e",'Características dos Cabos'!$D$25:$L$29,9),"")))))</f>
        <v/>
      </c>
      <c r="U63" s="310" t="str">
        <f>IF(OR(N63="a",O63="a"),VLOOKUP("a",'Características dos Cabos'!$D$14:$K$18,8),IF(OR(N63="b",N63="c",O63="b",O63="c"),VLOOKUP("b",'Características dos Cabos'!$D$14:$K$18,8),IF(OR(N63="d",N63="e",O63="d",O63="e"),VLOOKUP("c",'Características dos Cabos'!$D$14:$K$18,8),IF(OR(N63="f",N63="g",N63="h",O63="f",O63="g",O63="h"),VLOOKUP("d",'Características dos Cabos'!$D$14:$K$18,8),IF(OR(N63="i",N63="j",N63="l",N63="m",O63="i",O64="j",O64="l",O64="m"),VLOOKUP("e",'Características dos Cabos'!$D$14:$K$18,8),"")))))</f>
        <v/>
      </c>
      <c r="V63" s="310" t="str">
        <f t="shared" si="17"/>
        <v/>
      </c>
      <c r="W63" s="309" t="str">
        <f t="shared" si="18"/>
        <v/>
      </c>
      <c r="X63" s="359" t="str">
        <f>IF(OR(N63="a",O63="a"),VLOOKUP("a",'Características dos Cabos'!$D$25:$L$29,3),IF(OR(N63="b",N63="c",O63="b",O63="c"),VLOOKUP("b",'Características dos Cabos'!$D$25:$L$29,3),IF(OR(N63="d",N63="e",O63="d",O63="e"),VLOOKUP("c",'Características dos Cabos'!$D$25:$L$29,3),IF(OR(N63="f",N63="g",N63="h",O63="f",O63="g",O63="h"),VLOOKUP("d",'Características dos Cabos'!$D$25:$L$29,3),IF(OR(N63="i",N63="j",N63="l",N63="m",O63="i",O63="j",O63="l",O63="m"),VLOOKUP("e",'Características dos Cabos'!$D$25:$L$29,3),"")))))</f>
        <v/>
      </c>
      <c r="Y63" s="359" t="str">
        <f>IF(OR(N63="a",O63="a"),VLOOKUP("a",'Características dos Cabos'!$D$14:$K$18,4),IF(OR(N63="b",N63="c",O63="b",O63="c"),VLOOKUP("b",'Características dos Cabos'!$D$14:$K$18,4),IF(OR(N63="d",N63="e",O63="d",O63="e"),VLOOKUP("c",'Características dos Cabos'!$D$14:$K$18,4),IF(OR(N63="f",N63="g",N63="h",O63="f",O63="g",O63="h"),VLOOKUP("d",'Características dos Cabos'!$D$14:$K$18,4),IF(OR(N63="i",N63="j",N63="l",N63="m",O63="i",O63="j",O63="l",O63="m"),VLOOKUP("e",'Características dos Cabos'!$D$14:$K$18,4),"")))))</f>
        <v/>
      </c>
      <c r="Z63" s="310" t="str">
        <f t="shared" si="19"/>
        <v/>
      </c>
      <c r="AA63" s="311" t="str">
        <f t="shared" si="20"/>
        <v/>
      </c>
      <c r="AB63" s="354"/>
      <c r="AC63" s="357">
        <f t="shared" si="21"/>
        <v>0</v>
      </c>
      <c r="AD63" s="357">
        <f t="shared" si="22"/>
        <v>0</v>
      </c>
      <c r="AE63" s="354"/>
    </row>
    <row r="64" spans="1:31" ht="13.5" customHeight="1" thickTop="1" thickBot="1" x14ac:dyDescent="0.3">
      <c r="A64" s="106"/>
      <c r="B64" s="638"/>
      <c r="C64" s="83"/>
      <c r="D64" s="84"/>
      <c r="E64" s="85"/>
      <c r="F64" s="45" t="str">
        <f t="shared" si="3"/>
        <v/>
      </c>
      <c r="G64" s="66"/>
      <c r="H64" s="360" t="str">
        <f>IF(AND(E64="",G64=""),"",SUM(F64:G64))</f>
        <v/>
      </c>
      <c r="I64" s="329" t="str">
        <f>IF(OR(L64="",M64=""),"",IF(L64="3",VLOOKUP(N64,'K% (Rede Convencional)'!$B$18:$H$29,5),(IF(L64="2",VLOOKUP(O64,'K% (Rede Convencional)'!$B$18:$H$29,6),(IF(L64="1",VLOOKUP(O64,'K% (Rede Convencional)'!$B$18:$H$29,7)))))))</f>
        <v/>
      </c>
      <c r="J64" s="329" t="str">
        <f>IF(OR(L64="",M64=""),"",IF(L64="3",VLOOKUP(N64,'K% (Rede Convencional)'!$B$18:$E$29,2),(IF(L64="2",VLOOKUP(O64,'K% (Rede Convencional)'!$B$18:$E$29,3),(IF(L64="1",VLOOKUP(O64,'K% (Rede Convencional)'!$B$18:$E$29,4)))))))</f>
        <v/>
      </c>
      <c r="K64" s="329" t="str">
        <f t="shared" si="14"/>
        <v/>
      </c>
      <c r="L64" s="94"/>
      <c r="M64" s="94"/>
      <c r="N64" s="91">
        <f t="shared" si="10"/>
        <v>0</v>
      </c>
      <c r="O64" s="92" t="str">
        <f>IF(M64="","",IF(M64="4 (4)","a",IF(OR(M64="2 (4)",M64="2 (2)"),VLOOKUP(M64,mT!$AF$21:$AG$22,2,FALSE),IF(OR(M64="1/0 (4)",M64="1/0 (2)"),VLOOKUP(M64,mT!$AF$24:$AG$25,2,FALSE),IF(OR(M64="4/0 (4)",M64="4/0 (2)",M64="4/0 (1/0)"),VLOOKUP(M64,mT!$AF$27:$AG$29,2,FALSE),IF(OR(M64="336,4 (4)",M64="336,4 (2)",M64="336,4 (1/0)",M64="336,4 (4/0)"),VLOOKUP(M64,mT!$AF$31:$AG$34,2,FALSE),""))))))</f>
        <v/>
      </c>
      <c r="P64" s="66"/>
      <c r="Q64" s="331" t="str">
        <f t="shared" si="15"/>
        <v/>
      </c>
      <c r="R64" s="331" t="str">
        <f>IF(Q64="","",SUM($Q$20:Q64))</f>
        <v/>
      </c>
      <c r="S64" s="331" t="str">
        <f t="shared" si="16"/>
        <v/>
      </c>
      <c r="T64" s="332" t="str">
        <f>IF(OR(N64="a",O64="a"),VLOOKUP("a",'Características dos Cabos'!$D$25:$L$29,9),IF(OR(N64="b",N64="c",O64="b",O64="c"),VLOOKUP("b",'Características dos Cabos'!$D$25:$L$29,9),IF(OR(N64="d",N64="e",O64="d",O64="e"),VLOOKUP("c",'Características dos Cabos'!$D$25:$L$29,9),IF(OR(N64="f",N64="g",N64="h",O64="f",O64="g",O64="h"),VLOOKUP("d",'Características dos Cabos'!$D$25:$L$29,9),IF(OR(N64="i",N64="j",N64="l",N64="m",O64="i",O89="j",O89="l",O89="m"),VLOOKUP("e",'Características dos Cabos'!$D$25:$L$29,9),"")))))</f>
        <v/>
      </c>
      <c r="U64" s="332" t="str">
        <f>IF(OR(N64="a",O64="a"),VLOOKUP("a",'Características dos Cabos'!$D$14:$K$18,8),IF(OR(N64="b",N64="c",O64="b",O64="c"),VLOOKUP("b",'Características dos Cabos'!$D$14:$K$18,8),IF(OR(N64="d",N64="e",O64="d",O64="e"),VLOOKUP("c",'Características dos Cabos'!$D$14:$K$18,8),IF(OR(N64="f",N64="g",N64="h",O64="f",O64="g",O64="h"),VLOOKUP("d",'Características dos Cabos'!$D$14:$K$18,8),IF(OR(N64="i",N64="j",N64="l",N64="m",O64="i",O89="j",O89="l",O89="m"),VLOOKUP("e",'Características dos Cabos'!$D$14:$K$18,8),"")))))</f>
        <v/>
      </c>
      <c r="V64" s="332" t="str">
        <f t="shared" si="17"/>
        <v/>
      </c>
      <c r="W64" s="331" t="str">
        <f t="shared" si="18"/>
        <v/>
      </c>
      <c r="X64" s="361" t="str">
        <f>IF(OR(N64="a",O64="a"),VLOOKUP("a",'Características dos Cabos'!$D$25:$L$29,3),IF(OR(N64="b",N64="c",O64="b",O64="c"),VLOOKUP("b",'Características dos Cabos'!$D$25:$L$29,3),IF(OR(N64="d",N64="e",O64="d",O64="e"),VLOOKUP("c",'Características dos Cabos'!$D$25:$L$29,3),IF(OR(N64="f",N64="g",N64="h",O64="f",O64="g",O64="h"),VLOOKUP("d",'Características dos Cabos'!$D$25:$L$29,3),IF(OR(N64="i",N64="j",N64="l",N64="m",O64="i",O64="j",O64="l",O64="m"),VLOOKUP("e",'Características dos Cabos'!$D$25:$L$29,3),"")))))</f>
        <v/>
      </c>
      <c r="Y64" s="361" t="str">
        <f>IF(OR(N64="a",O64="a"),VLOOKUP("a",'Características dos Cabos'!$D$14:$K$18,4),IF(OR(N64="b",N64="c",O64="b",O64="c"),VLOOKUP("b",'Características dos Cabos'!$D$14:$K$18,4),IF(OR(N64="d",N64="e",O64="d",O64="e"),VLOOKUP("c",'Características dos Cabos'!$D$14:$K$18,4),IF(OR(N64="f",N64="g",N64="h",O64="f",O64="g",O64="h"),VLOOKUP("d",'Características dos Cabos'!$D$14:$K$18,4),IF(OR(N64="i",N64="j",N64="l",N64="m",O64="i",O64="j",O64="l",O64="m"),VLOOKUP("e",'Características dos Cabos'!$D$14:$K$18,4),"")))))</f>
        <v/>
      </c>
      <c r="Z64" s="332" t="str">
        <f t="shared" si="19"/>
        <v/>
      </c>
      <c r="AA64" s="333" t="str">
        <f t="shared" si="20"/>
        <v/>
      </c>
      <c r="AB64" s="354"/>
      <c r="AC64" s="357">
        <f t="shared" si="21"/>
        <v>0</v>
      </c>
      <c r="AD64" s="357">
        <f t="shared" si="22"/>
        <v>0</v>
      </c>
      <c r="AE64" s="354"/>
    </row>
    <row r="65" spans="1:31" ht="13.5" customHeight="1" thickTop="1" x14ac:dyDescent="0.25">
      <c r="A65" s="106"/>
      <c r="B65" s="636" t="s">
        <v>238</v>
      </c>
      <c r="C65" s="69"/>
      <c r="D65" s="86"/>
      <c r="E65" s="78"/>
      <c r="F65" s="45" t="str">
        <f t="shared" si="3"/>
        <v/>
      </c>
      <c r="G65" s="79"/>
      <c r="H65" s="355" t="str">
        <f>IF(AND(E65="",G65=""),"",SUM(F65:G68))</f>
        <v/>
      </c>
      <c r="I65" s="321" t="str">
        <f>IF(OR(L65="",M65=""),"",IF(L65="3",VLOOKUP(N65,'K% (Rede Convencional)'!$B$18:$H$29,5),(IF(L65="2",VLOOKUP(O65,'K% (Rede Convencional)'!$B$18:$H$29,6),(IF(L65="1",VLOOKUP(O65,'K% (Rede Convencional)'!$B$18:$H$29,7)))))))</f>
        <v/>
      </c>
      <c r="J65" s="321" t="str">
        <f>IF(OR(L65="",M65=""),"",IF(L65="3",VLOOKUP(N65,'K% (Rede Convencional)'!$B$18:$E$29,2),(IF(L65="2",VLOOKUP(O65,'K% (Rede Convencional)'!$B$18:$E$29,3),(IF(L65="1",VLOOKUP(O65,'K% (Rede Convencional)'!$B$18:$E$29,4)))))))</f>
        <v/>
      </c>
      <c r="K65" s="321" t="str">
        <f t="shared" si="14"/>
        <v/>
      </c>
      <c r="L65" s="95"/>
      <c r="M65" s="95"/>
      <c r="N65" s="87">
        <f t="shared" si="10"/>
        <v>0</v>
      </c>
      <c r="O65" s="88" t="str">
        <f>IF(M65="","",IF(M65="4 (4)","a",IF(OR(M65="2 (4)",M65="2 (2)"),VLOOKUP(M65,mT!$AF$21:$AG$22,2,FALSE),IF(OR(M65="1/0 (4)",M65="1/0 (2)"),VLOOKUP(M65,mT!$AF$24:$AG$25,2,FALSE),IF(OR(M65="4/0 (4)",M65="4/0 (2)",M65="4/0 (1/0)"),VLOOKUP(M65,mT!$AF$27:$AG$29,2,FALSE),IF(OR(M65="336,4 (4)",M65="336,4 (2)",M65="336,4 (1/0)",M65="336,4 (4/0)"),VLOOKUP(M65,mT!$AF$31:$AG$34,2,FALSE),""))))))</f>
        <v/>
      </c>
      <c r="P65" s="79"/>
      <c r="Q65" s="322" t="str">
        <f t="shared" si="15"/>
        <v/>
      </c>
      <c r="R65" s="322" t="str">
        <f>IF(Q65="","",SUM($Q$20:Q65))</f>
        <v/>
      </c>
      <c r="S65" s="322" t="str">
        <f t="shared" si="16"/>
        <v/>
      </c>
      <c r="T65" s="323" t="str">
        <f>IF(OR(N65="a",O65="a"),VLOOKUP("a",'Características dos Cabos'!$D$25:$L$29,9),IF(OR(N65="b",N65="c",O65="b",O65="c"),VLOOKUP("b",'Características dos Cabos'!$D$25:$L$29,9),IF(OR(N65="d",N65="e",O65="d",O65="e"),VLOOKUP("c",'Características dos Cabos'!$D$25:$L$29,9),IF(OR(N65="f",N65="g",N65="h",O65="f",O65="g",O65="h"),VLOOKUP("d",'Características dos Cabos'!$D$25:$L$29,9),IF(OR(N65="i",N65="j",N65="l",N65="m",O65="i",O66="j",O66="l",O66="m"),VLOOKUP("e",'Características dos Cabos'!$D$25:$L$29,9),"")))))</f>
        <v/>
      </c>
      <c r="U65" s="323" t="str">
        <f>IF(OR(N65="a",O65="a"),VLOOKUP("a",'Características dos Cabos'!$D$14:$K$18,8),IF(OR(N65="b",N65="c",O65="b",O65="c"),VLOOKUP("b",'Características dos Cabos'!$D$14:$K$18,8),IF(OR(N65="d",N65="e",O65="d",O65="e"),VLOOKUP("c",'Características dos Cabos'!$D$14:$K$18,8),IF(OR(N65="f",N65="g",N65="h",O65="f",O65="g",O65="h"),VLOOKUP("d",'Características dos Cabos'!$D$14:$K$18,8),IF(OR(N65="i",N65="j",N65="l",N65="m",O65="i",O66="j",O66="l",O66="m"),VLOOKUP("e",'Características dos Cabos'!$D$14:$K$18,8),"")))))</f>
        <v/>
      </c>
      <c r="V65" s="323" t="str">
        <f t="shared" si="17"/>
        <v/>
      </c>
      <c r="W65" s="322" t="str">
        <f t="shared" si="18"/>
        <v/>
      </c>
      <c r="X65" s="356" t="str">
        <f>IF(OR(N65="a",O65="a"),VLOOKUP("a",'Características dos Cabos'!$D$25:$L$29,3),IF(OR(N65="b",N65="c",O65="b",O65="c"),VLOOKUP("b",'Características dos Cabos'!$D$25:$L$29,3),IF(OR(N65="d",N65="e",O65="d",O65="e"),VLOOKUP("c",'Características dos Cabos'!$D$25:$L$29,3),IF(OR(N65="f",N65="g",N65="h",O65="f",O65="g",O65="h"),VLOOKUP("d",'Características dos Cabos'!$D$25:$L$29,3),IF(OR(N65="i",N65="j",N65="l",N65="m",O65="i",O65="j",O65="l",O65="m"),VLOOKUP("e",'Características dos Cabos'!$D$25:$L$29,3),"")))))</f>
        <v/>
      </c>
      <c r="Y65" s="356" t="str">
        <f>IF(OR(N65="a",O65="a"),VLOOKUP("a",'Características dos Cabos'!$D$14:$K$18,4),IF(OR(N65="b",N65="c",O65="b",O65="c"),VLOOKUP("b",'Características dos Cabos'!$D$14:$K$18,4),IF(OR(N65="d",N65="e",O65="d",O65="e"),VLOOKUP("c",'Características dos Cabos'!$D$14:$K$18,4),IF(OR(N65="f",N65="g",N65="h",O65="f",O65="g",O65="h"),VLOOKUP("d",'Características dos Cabos'!$D$14:$K$18,4),IF(OR(N65="i",N65="j",N65="l",N65="m",O65="i",O65="j",O65="l",O65="m"),VLOOKUP("e",'Características dos Cabos'!$D$14:$K$18,4),"")))))</f>
        <v/>
      </c>
      <c r="Z65" s="323" t="str">
        <f t="shared" si="19"/>
        <v/>
      </c>
      <c r="AA65" s="324" t="str">
        <f t="shared" si="20"/>
        <v/>
      </c>
      <c r="AB65" s="367" t="e">
        <f>VLOOKUP(C65,$D$21:$R$35,12,FALSE)</f>
        <v>#N/A</v>
      </c>
      <c r="AC65" s="357">
        <f t="shared" si="21"/>
        <v>0</v>
      </c>
      <c r="AD65" s="357">
        <f t="shared" si="22"/>
        <v>0</v>
      </c>
      <c r="AE65" s="354"/>
    </row>
    <row r="66" spans="1:31" ht="14.25" customHeight="1" x14ac:dyDescent="0.25">
      <c r="A66" s="106"/>
      <c r="B66" s="637"/>
      <c r="C66" s="80"/>
      <c r="D66" s="81"/>
      <c r="E66" s="82"/>
      <c r="F66" s="45" t="str">
        <f t="shared" si="3"/>
        <v/>
      </c>
      <c r="G66" s="65"/>
      <c r="H66" s="358" t="str">
        <f>IF(AND(E66="",G66=""),"",SUM(F66:G68))</f>
        <v/>
      </c>
      <c r="I66" s="307" t="str">
        <f>IF(OR(L66="",M66=""),"",IF(L66="3",VLOOKUP(N66,'K% (Rede Convencional)'!$B$18:$H$29,5),(IF(L66="2",VLOOKUP(O66,'K% (Rede Convencional)'!$B$18:$H$29,6),(IF(L66="1",VLOOKUP(O66,'K% (Rede Convencional)'!$B$18:$H$29,7)))))))</f>
        <v/>
      </c>
      <c r="J66" s="307" t="str">
        <f>IF(OR(L66="",M66=""),"",IF(L66="3",VLOOKUP(N66,'K% (Rede Convencional)'!$B$18:$E$29,2),(IF(L66="2",VLOOKUP(O66,'K% (Rede Convencional)'!$B$18:$E$29,3),(IF(L66="1",VLOOKUP(O66,'K% (Rede Convencional)'!$B$18:$E$29,4)))))))</f>
        <v/>
      </c>
      <c r="K66" s="307" t="str">
        <f t="shared" si="14"/>
        <v/>
      </c>
      <c r="L66" s="93"/>
      <c r="M66" s="93"/>
      <c r="N66" s="89">
        <f t="shared" si="10"/>
        <v>0</v>
      </c>
      <c r="O66" s="90" t="str">
        <f>IF(M66="","",IF(M66="4 (4)","a",IF(OR(M66="2 (4)",M66="2 (2)"),VLOOKUP(M66,mT!$AF$21:$AG$22,2,FALSE),IF(OR(M66="1/0 (4)",M66="1/0 (2)"),VLOOKUP(M66,mT!$AF$24:$AG$25,2,FALSE),IF(OR(M66="4/0 (4)",M66="4/0 (2)",M66="4/0 (1/0)"),VLOOKUP(M66,mT!$AF$27:$AG$29,2,FALSE),IF(OR(M66="336,4 (4)",M66="336,4 (2)",M66="336,4 (1/0)",M66="336,4 (4/0)"),VLOOKUP(M66,mT!$AF$31:$AG$34,2,FALSE),""))))))</f>
        <v/>
      </c>
      <c r="P66" s="65"/>
      <c r="Q66" s="309" t="str">
        <f t="shared" si="15"/>
        <v/>
      </c>
      <c r="R66" s="309" t="str">
        <f>IF(Q66="","",SUM($Q$20:Q66))</f>
        <v/>
      </c>
      <c r="S66" s="309" t="str">
        <f t="shared" si="16"/>
        <v/>
      </c>
      <c r="T66" s="310" t="str">
        <f>IF(OR(N66="a",O66="a"),VLOOKUP("a",'Características dos Cabos'!$D$25:$L$29,9),IF(OR(N66="b",N66="c",O66="b",O66="c"),VLOOKUP("b",'Características dos Cabos'!$D$25:$L$29,9),IF(OR(N66="d",N66="e",O66="d",O66="e"),VLOOKUP("c",'Características dos Cabos'!$D$25:$L$29,9),IF(OR(N66="f",N66="g",N66="h",O66="f",O66="g",O66="h"),VLOOKUP("d",'Características dos Cabos'!$D$25:$L$29,9),IF(OR(N66="i",N66="j",N66="l",N66="m",O66="i",O67="j",O67="l",O67="m"),VLOOKUP("e",'Características dos Cabos'!$D$25:$L$29,9),"")))))</f>
        <v/>
      </c>
      <c r="U66" s="310" t="str">
        <f>IF(OR(N66="a",O66="a"),VLOOKUP("a",'Características dos Cabos'!$D$14:$K$18,8),IF(OR(N66="b",N66="c",O66="b",O66="c"),VLOOKUP("b",'Características dos Cabos'!$D$14:$K$18,8),IF(OR(N66="d",N66="e",O66="d",O66="e"),VLOOKUP("c",'Características dos Cabos'!$D$14:$K$18,8),IF(OR(N66="f",N66="g",N66="h",O66="f",O66="g",O66="h"),VLOOKUP("d",'Características dos Cabos'!$D$14:$K$18,8),IF(OR(N66="i",N66="j",N66="l",N66="m",O66="i",O67="j",O67="l",O67="m"),VLOOKUP("e",'Características dos Cabos'!$D$14:$K$18,8),"")))))</f>
        <v/>
      </c>
      <c r="V66" s="310" t="str">
        <f t="shared" si="17"/>
        <v/>
      </c>
      <c r="W66" s="309" t="str">
        <f t="shared" si="18"/>
        <v/>
      </c>
      <c r="X66" s="359" t="str">
        <f>IF(OR(N66="a",O66="a"),VLOOKUP("a",'Características dos Cabos'!$D$25:$L$29,3),IF(OR(N66="b",N66="c",O66="b",O66="c"),VLOOKUP("b",'Características dos Cabos'!$D$25:$L$29,3),IF(OR(N66="d",N66="e",O66="d",O66="e"),VLOOKUP("c",'Características dos Cabos'!$D$25:$L$29,3),IF(OR(N66="f",N66="g",N66="h",O66="f",O66="g",O66="h"),VLOOKUP("d",'Características dos Cabos'!$D$25:$L$29,3),IF(OR(N66="i",N66="j",N66="l",N66="m",O66="i",O66="j",O66="l",O66="m"),VLOOKUP("e",'Características dos Cabos'!$D$25:$L$29,3),"")))))</f>
        <v/>
      </c>
      <c r="Y66" s="359" t="str">
        <f>IF(OR(N66="a",O66="a"),VLOOKUP("a",'Características dos Cabos'!$D$14:$K$18,4),IF(OR(N66="b",N66="c",O66="b",O66="c"),VLOOKUP("b",'Características dos Cabos'!$D$14:$K$18,4),IF(OR(N66="d",N66="e",O66="d",O66="e"),VLOOKUP("c",'Características dos Cabos'!$D$14:$K$18,4),IF(OR(N66="f",N66="g",N66="h",O66="f",O66="g",O66="h"),VLOOKUP("d",'Características dos Cabos'!$D$14:$K$18,4),IF(OR(N66="i",N66="j",N66="l",N66="m",O66="i",O66="j",O66="l",O66="m"),VLOOKUP("e",'Características dos Cabos'!$D$14:$K$18,4),"")))))</f>
        <v/>
      </c>
      <c r="Z66" s="310" t="str">
        <f t="shared" si="19"/>
        <v/>
      </c>
      <c r="AA66" s="311" t="str">
        <f t="shared" si="20"/>
        <v/>
      </c>
      <c r="AB66" s="354"/>
      <c r="AC66" s="357">
        <f t="shared" si="21"/>
        <v>0</v>
      </c>
      <c r="AD66" s="357">
        <f t="shared" si="22"/>
        <v>0</v>
      </c>
      <c r="AE66" s="354"/>
    </row>
    <row r="67" spans="1:31" ht="13.5" customHeight="1" x14ac:dyDescent="0.25">
      <c r="A67" s="106"/>
      <c r="B67" s="637"/>
      <c r="C67" s="80"/>
      <c r="D67" s="81"/>
      <c r="E67" s="82"/>
      <c r="F67" s="45" t="str">
        <f t="shared" si="3"/>
        <v/>
      </c>
      <c r="G67" s="65"/>
      <c r="H67" s="358" t="str">
        <f>IF(AND(E67="",G67=""),"",SUM(F67:G68))</f>
        <v/>
      </c>
      <c r="I67" s="307" t="str">
        <f>IF(OR(L67="",M67=""),"",IF(L67="3",VLOOKUP(N67,'K% (Rede Convencional)'!$B$18:$H$29,5),(IF(L67="2",VLOOKUP(O67,'K% (Rede Convencional)'!$B$18:$H$29,6),(IF(L67="1",VLOOKUP(O67,'K% (Rede Convencional)'!$B$18:$H$29,7)))))))</f>
        <v/>
      </c>
      <c r="J67" s="307" t="str">
        <f>IF(OR(L67="",M67=""),"",IF(L67="3",VLOOKUP(N67,'K% (Rede Convencional)'!$B$18:$E$29,2),(IF(L67="2",VLOOKUP(O67,'K% (Rede Convencional)'!$B$18:$E$29,3),(IF(L67="1",VLOOKUP(O67,'K% (Rede Convencional)'!$B$18:$E$29,4)))))))</f>
        <v/>
      </c>
      <c r="K67" s="307" t="str">
        <f t="shared" si="14"/>
        <v/>
      </c>
      <c r="L67" s="93"/>
      <c r="M67" s="93"/>
      <c r="N67" s="89">
        <f t="shared" si="10"/>
        <v>0</v>
      </c>
      <c r="O67" s="90" t="str">
        <f>IF(M67="","",IF(M67="4 (4)","a",IF(OR(M67="2 (4)",M67="2 (2)"),VLOOKUP(M67,mT!$AF$21:$AG$22,2,FALSE),IF(OR(M67="1/0 (4)",M67="1/0 (2)"),VLOOKUP(M67,mT!$AF$24:$AG$25,2,FALSE),IF(OR(M67="4/0 (4)",M67="4/0 (2)",M67="4/0 (1/0)"),VLOOKUP(M67,mT!$AF$27:$AG$29,2,FALSE),IF(OR(M67="336,4 (4)",M67="336,4 (2)",M67="336,4 (1/0)",M67="336,4 (4/0)"),VLOOKUP(M67,mT!$AF$31:$AG$34,2,FALSE),""))))))</f>
        <v/>
      </c>
      <c r="P67" s="65"/>
      <c r="Q67" s="309" t="str">
        <f t="shared" si="15"/>
        <v/>
      </c>
      <c r="R67" s="309" t="str">
        <f>IF(Q67="","",SUM($Q$20:Q67))</f>
        <v/>
      </c>
      <c r="S67" s="309" t="str">
        <f t="shared" si="16"/>
        <v/>
      </c>
      <c r="T67" s="310" t="str">
        <f>IF(OR(N67="a",O67="a"),VLOOKUP("a",'Características dos Cabos'!$D$25:$L$29,9),IF(OR(N67="b",N67="c",O67="b",O67="c"),VLOOKUP("b",'Características dos Cabos'!$D$25:$L$29,9),IF(OR(N67="d",N67="e",O67="d",O67="e"),VLOOKUP("c",'Características dos Cabos'!$D$25:$L$29,9),IF(OR(N67="f",N67="g",N67="h",O67="f",O67="g",O67="h"),VLOOKUP("d",'Características dos Cabos'!$D$25:$L$29,9),IF(OR(N67="i",N67="j",N67="l",N67="m",O67="i",O68="j",O68="l",O68="m"),VLOOKUP("e",'Características dos Cabos'!$D$25:$L$29,9),"")))))</f>
        <v/>
      </c>
      <c r="U67" s="310" t="str">
        <f>IF(OR(N67="a",O67="a"),VLOOKUP("a",'Características dos Cabos'!$D$14:$K$18,8),IF(OR(N67="b",N67="c",O67="b",O67="c"),VLOOKUP("b",'Características dos Cabos'!$D$14:$K$18,8),IF(OR(N67="d",N67="e",O67="d",O67="e"),VLOOKUP("c",'Características dos Cabos'!$D$14:$K$18,8),IF(OR(N67="f",N67="g",N67="h",O67="f",O67="g",O67="h"),VLOOKUP("d",'Características dos Cabos'!$D$14:$K$18,8),IF(OR(N67="i",N67="j",N67="l",N67="m",O67="i",O68="j",O68="l",O68="m"),VLOOKUP("e",'Características dos Cabos'!$D$14:$K$18,8),"")))))</f>
        <v/>
      </c>
      <c r="V67" s="310" t="str">
        <f t="shared" si="17"/>
        <v/>
      </c>
      <c r="W67" s="309" t="str">
        <f t="shared" si="18"/>
        <v/>
      </c>
      <c r="X67" s="359" t="str">
        <f>IF(OR(N67="a",O67="a"),VLOOKUP("a",'Características dos Cabos'!$D$25:$L$29,3),IF(OR(N67="b",N67="c",O67="b",O67="c"),VLOOKUP("b",'Características dos Cabos'!$D$25:$L$29,3),IF(OR(N67="d",N67="e",O67="d",O67="e"),VLOOKUP("c",'Características dos Cabos'!$D$25:$L$29,3),IF(OR(N67="f",N67="g",N67="h",O67="f",O67="g",O67="h"),VLOOKUP("d",'Características dos Cabos'!$D$25:$L$29,3),IF(OR(N67="i",N67="j",N67="l",N67="m",O67="i",O67="j",O67="l",O67="m"),VLOOKUP("e",'Características dos Cabos'!$D$25:$L$29,3),"")))))</f>
        <v/>
      </c>
      <c r="Y67" s="359" t="str">
        <f>IF(OR(N67="a",O67="a"),VLOOKUP("a",'Características dos Cabos'!$D$14:$K$18,4),IF(OR(N67="b",N67="c",O67="b",O67="c"),VLOOKUP("b",'Características dos Cabos'!$D$14:$K$18,4),IF(OR(N67="d",N67="e",O67="d",O67="e"),VLOOKUP("c",'Características dos Cabos'!$D$14:$K$18,4),IF(OR(N67="f",N67="g",N67="h",O67="f",O67="g",O67="h"),VLOOKUP("d",'Características dos Cabos'!$D$14:$K$18,4),IF(OR(N67="i",N67="j",N67="l",N67="m",O67="i",O67="j",O67="l",O67="m"),VLOOKUP("e",'Características dos Cabos'!$D$14:$K$18,4),"")))))</f>
        <v/>
      </c>
      <c r="Z67" s="310" t="str">
        <f t="shared" si="19"/>
        <v/>
      </c>
      <c r="AA67" s="311" t="str">
        <f t="shared" si="20"/>
        <v/>
      </c>
      <c r="AB67" s="354"/>
      <c r="AC67" s="357">
        <f t="shared" si="21"/>
        <v>0</v>
      </c>
      <c r="AD67" s="357">
        <f t="shared" si="22"/>
        <v>0</v>
      </c>
      <c r="AE67" s="354"/>
    </row>
    <row r="68" spans="1:31" ht="13.5" customHeight="1" thickBot="1" x14ac:dyDescent="0.3">
      <c r="A68" s="106"/>
      <c r="B68" s="638"/>
      <c r="C68" s="83"/>
      <c r="D68" s="84"/>
      <c r="E68" s="85"/>
      <c r="F68" s="45" t="str">
        <f t="shared" si="3"/>
        <v/>
      </c>
      <c r="G68" s="66"/>
      <c r="H68" s="360" t="str">
        <f>IF(AND(E68="",G68=""),"",SUM(F68:G68))</f>
        <v/>
      </c>
      <c r="I68" s="329" t="str">
        <f>IF(OR(L68="",M68=""),"",IF(L68="3",VLOOKUP(N68,'K% (Rede Convencional)'!$B$18:$H$29,5),(IF(L68="2",VLOOKUP(O68,'K% (Rede Convencional)'!$B$18:$H$29,6),(IF(L68="1",VLOOKUP(O68,'K% (Rede Convencional)'!$B$18:$H$29,7)))))))</f>
        <v/>
      </c>
      <c r="J68" s="329" t="str">
        <f>IF(OR(L68="",M68=""),"",IF(L68="3",VLOOKUP(N68,'K% (Rede Convencional)'!$B$18:$E$29,2),(IF(L68="2",VLOOKUP(O68,'K% (Rede Convencional)'!$B$18:$E$29,3),(IF(L68="1",VLOOKUP(O68,'K% (Rede Convencional)'!$B$18:$E$29,4)))))))</f>
        <v/>
      </c>
      <c r="K68" s="329" t="str">
        <f t="shared" si="14"/>
        <v/>
      </c>
      <c r="L68" s="94"/>
      <c r="M68" s="94"/>
      <c r="N68" s="91">
        <f t="shared" si="10"/>
        <v>0</v>
      </c>
      <c r="O68" s="92" t="str">
        <f>IF(M68="","",IF(M68="4 (4)","a",IF(OR(M68="2 (4)",M68="2 (2)"),VLOOKUP(M68,mT!$AF$21:$AG$22,2,FALSE),IF(OR(M68="1/0 (4)",M68="1/0 (2)"),VLOOKUP(M68,mT!$AF$24:$AG$25,2,FALSE),IF(OR(M68="4/0 (4)",M68="4/0 (2)",M68="4/0 (1/0)"),VLOOKUP(M68,mT!$AF$27:$AG$29,2,FALSE),IF(OR(M68="336,4 (4)",M68="336,4 (2)",M68="336,4 (1/0)",M68="336,4 (4/0)"),VLOOKUP(M68,mT!$AF$31:$AG$34,2,FALSE),""))))))</f>
        <v/>
      </c>
      <c r="P68" s="66"/>
      <c r="Q68" s="331" t="str">
        <f t="shared" si="15"/>
        <v/>
      </c>
      <c r="R68" s="331" t="str">
        <f>IF(Q68="","",SUM($Q$20:Q68))</f>
        <v/>
      </c>
      <c r="S68" s="331" t="str">
        <f t="shared" si="16"/>
        <v/>
      </c>
      <c r="T68" s="332" t="str">
        <f>IF(OR(N68="a",O68="a"),VLOOKUP("a",'Características dos Cabos'!$D$25:$L$29,9),IF(OR(N68="b",N68="c",O68="b",O68="c"),VLOOKUP("b",'Características dos Cabos'!$D$25:$L$29,9),IF(OR(N68="d",N68="e",O68="d",O68="e"),VLOOKUP("c",'Características dos Cabos'!$D$25:$L$29,9),IF(OR(N68="f",N68="g",N68="h",O68="f",O68="g",O68="h"),VLOOKUP("d",'Características dos Cabos'!$D$25:$L$29,9),IF(OR(N68="i",N68="j",N68="l",N68="m",O68="i",O93="j",O93="l",O93="m"),VLOOKUP("e",'Características dos Cabos'!$D$25:$L$29,9),"")))))</f>
        <v/>
      </c>
      <c r="U68" s="332" t="str">
        <f>IF(OR(N68="a",O68="a"),VLOOKUP("a",'Características dos Cabos'!$D$14:$K$18,8),IF(OR(N68="b",N68="c",O68="b",O68="c"),VLOOKUP("b",'Características dos Cabos'!$D$14:$K$18,8),IF(OR(N68="d",N68="e",O68="d",O68="e"),VLOOKUP("c",'Características dos Cabos'!$D$14:$K$18,8),IF(OR(N68="f",N68="g",N68="h",O68="f",O68="g",O68="h"),VLOOKUP("d",'Características dos Cabos'!$D$14:$K$18,8),IF(OR(N68="i",N68="j",N68="l",N68="m",O68="i",O93="j",O93="l",O93="m"),VLOOKUP("e",'Características dos Cabos'!$D$14:$K$18,8),"")))))</f>
        <v/>
      </c>
      <c r="V68" s="332" t="str">
        <f t="shared" si="17"/>
        <v/>
      </c>
      <c r="W68" s="331" t="str">
        <f t="shared" si="18"/>
        <v/>
      </c>
      <c r="X68" s="361" t="str">
        <f>IF(OR(N68="a",O68="a"),VLOOKUP("a",'Características dos Cabos'!$D$25:$L$29,3),IF(OR(N68="b",N68="c",O68="b",O68="c"),VLOOKUP("b",'Características dos Cabos'!$D$25:$L$29,3),IF(OR(N68="d",N68="e",O68="d",O68="e"),VLOOKUP("c",'Características dos Cabos'!$D$25:$L$29,3),IF(OR(N68="f",N68="g",N68="h",O68="f",O68="g",O68="h"),VLOOKUP("d",'Características dos Cabos'!$D$25:$L$29,3),IF(OR(N68="i",N68="j",N68="l",N68="m",O68="i",O68="j",O68="l",O68="m"),VLOOKUP("e",'Características dos Cabos'!$D$25:$L$29,3),"")))))</f>
        <v/>
      </c>
      <c r="Y68" s="361" t="str">
        <f>IF(OR(N68="a",O68="a"),VLOOKUP("a",'Características dos Cabos'!$D$14:$K$18,4),IF(OR(N68="b",N68="c",O68="b",O68="c"),VLOOKUP("b",'Características dos Cabos'!$D$14:$K$18,4),IF(OR(N68="d",N68="e",O68="d",O68="e"),VLOOKUP("c",'Características dos Cabos'!$D$14:$K$18,4),IF(OR(N68="f",N68="g",N68="h",O68="f",O68="g",O68="h"),VLOOKUP("d",'Características dos Cabos'!$D$14:$K$18,4),IF(OR(N68="i",N68="j",N68="l",N68="m",O68="i",O68="j",O68="l",O68="m"),VLOOKUP("e",'Características dos Cabos'!$D$14:$K$18,4),"")))))</f>
        <v/>
      </c>
      <c r="Z68" s="332" t="str">
        <f t="shared" si="19"/>
        <v/>
      </c>
      <c r="AA68" s="333" t="str">
        <f t="shared" si="20"/>
        <v/>
      </c>
      <c r="AB68" s="354"/>
      <c r="AC68" s="357">
        <f t="shared" si="21"/>
        <v>0</v>
      </c>
      <c r="AD68" s="357">
        <f t="shared" si="22"/>
        <v>0</v>
      </c>
      <c r="AE68" s="354"/>
    </row>
    <row r="69" spans="1:31" ht="13.5" customHeight="1" thickTop="1" x14ac:dyDescent="0.25">
      <c r="A69" s="106"/>
      <c r="B69" s="636" t="s">
        <v>239</v>
      </c>
      <c r="C69" s="69"/>
      <c r="D69" s="86"/>
      <c r="E69" s="78"/>
      <c r="F69" s="45" t="str">
        <f t="shared" si="3"/>
        <v/>
      </c>
      <c r="G69" s="79"/>
      <c r="H69" s="355" t="str">
        <f>IF(AND(E69="",G69=""),"",SUM(F69:G72))</f>
        <v/>
      </c>
      <c r="I69" s="321" t="str">
        <f>IF(OR(L69="",M69=""),"",IF(L69="3",VLOOKUP(N69,'K% (Rede Convencional)'!$B$18:$H$29,5),(IF(L69="2",VLOOKUP(O69,'K% (Rede Convencional)'!$B$18:$H$29,6),(IF(L69="1",VLOOKUP(O69,'K% (Rede Convencional)'!$B$18:$H$29,7)))))))</f>
        <v/>
      </c>
      <c r="J69" s="321" t="str">
        <f>IF(OR(L69="",M69=""),"",IF(L69="3",VLOOKUP(N69,'K% (Rede Convencional)'!$B$18:$E$29,2),(IF(L69="2",VLOOKUP(O69,'K% (Rede Convencional)'!$B$18:$E$29,3),(IF(L69="1",VLOOKUP(O69,'K% (Rede Convencional)'!$B$18:$E$29,4)))))))</f>
        <v/>
      </c>
      <c r="K69" s="321" t="str">
        <f t="shared" si="14"/>
        <v/>
      </c>
      <c r="L69" s="95"/>
      <c r="M69" s="95"/>
      <c r="N69" s="87">
        <f t="shared" si="10"/>
        <v>0</v>
      </c>
      <c r="O69" s="88" t="str">
        <f>IF(M69="","",IF(M69="4 (4)","a",IF(OR(M69="2 (4)",M69="2 (2)"),VLOOKUP(M69,mT!$AF$21:$AG$22,2,FALSE),IF(OR(M69="1/0 (4)",M69="1/0 (2)"),VLOOKUP(M69,mT!$AF$24:$AG$25,2,FALSE),IF(OR(M69="4/0 (4)",M69="4/0 (2)",M69="4/0 (1/0)"),VLOOKUP(M69,mT!$AF$27:$AG$29,2,FALSE),IF(OR(M69="336,4 (4)",M69="336,4 (2)",M69="336,4 (1/0)",M69="336,4 (4/0)"),VLOOKUP(M69,mT!$AF$31:$AG$34,2,FALSE),""))))))</f>
        <v/>
      </c>
      <c r="P69" s="79"/>
      <c r="Q69" s="322" t="str">
        <f t="shared" si="15"/>
        <v/>
      </c>
      <c r="R69" s="322" t="str">
        <f>IF(Q69="","",SUM($Q$20:Q69))</f>
        <v/>
      </c>
      <c r="S69" s="322" t="str">
        <f t="shared" si="16"/>
        <v/>
      </c>
      <c r="T69" s="323" t="str">
        <f>IF(OR(N69="a",O69="a"),VLOOKUP("a",'Características dos Cabos'!$D$25:$L$29,9),IF(OR(N69="b",N69="c",O69="b",O69="c"),VLOOKUP("b",'Características dos Cabos'!$D$25:$L$29,9),IF(OR(N69="d",N69="e",O69="d",O69="e"),VLOOKUP("c",'Características dos Cabos'!$D$25:$L$29,9),IF(OR(N69="f",N69="g",N69="h",O69="f",O69="g",O69="h"),VLOOKUP("d",'Características dos Cabos'!$D$25:$L$29,9),IF(OR(N69="i",N69="j",N69="l",N69="m",O69="i",O70="j",O70="l",O70="m"),VLOOKUP("e",'Características dos Cabos'!$D$25:$L$29,9),"")))))</f>
        <v/>
      </c>
      <c r="U69" s="323" t="str">
        <f>IF(OR(N69="a",O69="a"),VLOOKUP("a",'Características dos Cabos'!$D$14:$K$18,8),IF(OR(N69="b",N69="c",O69="b",O69="c"),VLOOKUP("b",'Características dos Cabos'!$D$14:$K$18,8),IF(OR(N69="d",N69="e",O69="d",O69="e"),VLOOKUP("c",'Características dos Cabos'!$D$14:$K$18,8),IF(OR(N69="f",N69="g",N69="h",O69="f",O69="g",O69="h"),VLOOKUP("d",'Características dos Cabos'!$D$14:$K$18,8),IF(OR(N69="i",N69="j",N69="l",N69="m",O69="i",O70="j",O70="l",O70="m"),VLOOKUP("e",'Características dos Cabos'!$D$14:$K$18,8),"")))))</f>
        <v/>
      </c>
      <c r="V69" s="323" t="str">
        <f t="shared" si="17"/>
        <v/>
      </c>
      <c r="W69" s="322" t="str">
        <f t="shared" si="18"/>
        <v/>
      </c>
      <c r="X69" s="356" t="str">
        <f>IF(OR(N69="a",O69="a"),VLOOKUP("a",'Características dos Cabos'!$D$25:$L$29,3),IF(OR(N69="b",N69="c",O69="b",O69="c"),VLOOKUP("b",'Características dos Cabos'!$D$25:$L$29,3),IF(OR(N69="d",N69="e",O69="d",O69="e"),VLOOKUP("c",'Características dos Cabos'!$D$25:$L$29,3),IF(OR(N69="f",N69="g",N69="h",O69="f",O69="g",O69="h"),VLOOKUP("d",'Características dos Cabos'!$D$25:$L$29,3),IF(OR(N69="i",N69="j",N69="l",N69="m",O69="i",O69="j",O69="l",O69="m"),VLOOKUP("e",'Características dos Cabos'!$D$25:$L$29,3),"")))))</f>
        <v/>
      </c>
      <c r="Y69" s="356" t="str">
        <f>IF(OR(N69="a",O69="a"),VLOOKUP("a",'Características dos Cabos'!$D$14:$K$18,4),IF(OR(N69="b",N69="c",O69="b",O69="c"),VLOOKUP("b",'Características dos Cabos'!$D$14:$K$18,4),IF(OR(N69="d",N69="e",O69="d",O69="e"),VLOOKUP("c",'Características dos Cabos'!$D$14:$K$18,4),IF(OR(N69="f",N69="g",N69="h",O69="f",O69="g",O69="h"),VLOOKUP("d",'Características dos Cabos'!$D$14:$K$18,4),IF(OR(N69="i",N69="j",N69="l",N69="m",O69="i",O69="j",O69="l",O69="m"),VLOOKUP("e",'Características dos Cabos'!$D$14:$K$18,4),"")))))</f>
        <v/>
      </c>
      <c r="Z69" s="323" t="str">
        <f t="shared" si="19"/>
        <v/>
      </c>
      <c r="AA69" s="324" t="str">
        <f t="shared" si="20"/>
        <v/>
      </c>
      <c r="AB69" s="367" t="e">
        <f>VLOOKUP(C69,$D$21:$R$35,12,FALSE)</f>
        <v>#N/A</v>
      </c>
      <c r="AC69" s="357">
        <f t="shared" si="21"/>
        <v>0</v>
      </c>
      <c r="AD69" s="357">
        <f t="shared" si="22"/>
        <v>0</v>
      </c>
      <c r="AE69" s="354"/>
    </row>
    <row r="70" spans="1:31" ht="14.25" customHeight="1" x14ac:dyDescent="0.25">
      <c r="A70" s="106"/>
      <c r="B70" s="637"/>
      <c r="C70" s="80"/>
      <c r="D70" s="81"/>
      <c r="E70" s="82"/>
      <c r="F70" s="45" t="str">
        <f t="shared" si="3"/>
        <v/>
      </c>
      <c r="G70" s="65"/>
      <c r="H70" s="358" t="str">
        <f>IF(AND(E70="",G70=""),"",SUM(F70:G72))</f>
        <v/>
      </c>
      <c r="I70" s="307" t="str">
        <f>IF(OR(L70="",M70=""),"",IF(L70="3",VLOOKUP(N70,'K% (Rede Convencional)'!$B$18:$H$29,5),(IF(L70="2",VLOOKUP(O70,'K% (Rede Convencional)'!$B$18:$H$29,6),(IF(L70="1",VLOOKUP(O70,'K% (Rede Convencional)'!$B$18:$H$29,7)))))))</f>
        <v/>
      </c>
      <c r="J70" s="307" t="str">
        <f>IF(OR(L70="",M70=""),"",IF(L70="3",VLOOKUP(N70,'K% (Rede Convencional)'!$B$18:$E$29,2),(IF(L70="2",VLOOKUP(O70,'K% (Rede Convencional)'!$B$18:$E$29,3),(IF(L70="1",VLOOKUP(O70,'K% (Rede Convencional)'!$B$18:$E$29,4)))))))</f>
        <v/>
      </c>
      <c r="K70" s="307" t="str">
        <f t="shared" si="14"/>
        <v/>
      </c>
      <c r="L70" s="93"/>
      <c r="M70" s="93"/>
      <c r="N70" s="89">
        <f t="shared" si="10"/>
        <v>0</v>
      </c>
      <c r="O70" s="90" t="str">
        <f>IF(M70="","",IF(M70="4 (4)","a",IF(OR(M70="2 (4)",M70="2 (2)"),VLOOKUP(M70,mT!$AF$21:$AG$22,2,FALSE),IF(OR(M70="1/0 (4)",M70="1/0 (2)"),VLOOKUP(M70,mT!$AF$24:$AG$25,2,FALSE),IF(OR(M70="4/0 (4)",M70="4/0 (2)",M70="4/0 (1/0)"),VLOOKUP(M70,mT!$AF$27:$AG$29,2,FALSE),IF(OR(M70="336,4 (4)",M70="336,4 (2)",M70="336,4 (1/0)",M70="336,4 (4/0)"),VLOOKUP(M70,mT!$AF$31:$AG$34,2,FALSE),""))))))</f>
        <v/>
      </c>
      <c r="P70" s="65"/>
      <c r="Q70" s="309" t="str">
        <f t="shared" si="15"/>
        <v/>
      </c>
      <c r="R70" s="309" t="str">
        <f>IF(Q70="","",SUM($Q$20:Q70))</f>
        <v/>
      </c>
      <c r="S70" s="309" t="str">
        <f t="shared" si="16"/>
        <v/>
      </c>
      <c r="T70" s="310" t="str">
        <f>IF(OR(N70="a",O70="a"),VLOOKUP("a",'Características dos Cabos'!$D$25:$L$29,9),IF(OR(N70="b",N70="c",O70="b",O70="c"),VLOOKUP("b",'Características dos Cabos'!$D$25:$L$29,9),IF(OR(N70="d",N70="e",O70="d",O70="e"),VLOOKUP("c",'Características dos Cabos'!$D$25:$L$29,9),IF(OR(N70="f",N70="g",N70="h",O70="f",O70="g",O70="h"),VLOOKUP("d",'Características dos Cabos'!$D$25:$L$29,9),IF(OR(N70="i",N70="j",N70="l",N70="m",O70="i",O71="j",O71="l",O71="m"),VLOOKUP("e",'Características dos Cabos'!$D$25:$L$29,9),"")))))</f>
        <v/>
      </c>
      <c r="U70" s="310" t="str">
        <f>IF(OR(N70="a",O70="a"),VLOOKUP("a",'Características dos Cabos'!$D$14:$K$18,8),IF(OR(N70="b",N70="c",O70="b",O70="c"),VLOOKUP("b",'Características dos Cabos'!$D$14:$K$18,8),IF(OR(N70="d",N70="e",O70="d",O70="e"),VLOOKUP("c",'Características dos Cabos'!$D$14:$K$18,8),IF(OR(N70="f",N70="g",N70="h",O70="f",O70="g",O70="h"),VLOOKUP("d",'Características dos Cabos'!$D$14:$K$18,8),IF(OR(N70="i",N70="j",N70="l",N70="m",O70="i",O71="j",O71="l",O71="m"),VLOOKUP("e",'Características dos Cabos'!$D$14:$K$18,8),"")))))</f>
        <v/>
      </c>
      <c r="V70" s="310" t="str">
        <f t="shared" si="17"/>
        <v/>
      </c>
      <c r="W70" s="309" t="str">
        <f t="shared" si="18"/>
        <v/>
      </c>
      <c r="X70" s="359" t="str">
        <f>IF(OR(N70="a",O70="a"),VLOOKUP("a",'Características dos Cabos'!$D$25:$L$29,3),IF(OR(N70="b",N70="c",O70="b",O70="c"),VLOOKUP("b",'Características dos Cabos'!$D$25:$L$29,3),IF(OR(N70="d",N70="e",O70="d",O70="e"),VLOOKUP("c",'Características dos Cabos'!$D$25:$L$29,3),IF(OR(N70="f",N70="g",N70="h",O70="f",O70="g",O70="h"),VLOOKUP("d",'Características dos Cabos'!$D$25:$L$29,3),IF(OR(N70="i",N70="j",N70="l",N70="m",O70="i",O70="j",O70="l",O70="m"),VLOOKUP("e",'Características dos Cabos'!$D$25:$L$29,3),"")))))</f>
        <v/>
      </c>
      <c r="Y70" s="359" t="str">
        <f>IF(OR(N70="a",O70="a"),VLOOKUP("a",'Características dos Cabos'!$D$14:$K$18,4),IF(OR(N70="b",N70="c",O70="b",O70="c"),VLOOKUP("b",'Características dos Cabos'!$D$14:$K$18,4),IF(OR(N70="d",N70="e",O70="d",O70="e"),VLOOKUP("c",'Características dos Cabos'!$D$14:$K$18,4),IF(OR(N70="f",N70="g",N70="h",O70="f",O70="g",O70="h"),VLOOKUP("d",'Características dos Cabos'!$D$14:$K$18,4),IF(OR(N70="i",N70="j",N70="l",N70="m",O70="i",O70="j",O70="l",O70="m"),VLOOKUP("e",'Características dos Cabos'!$D$14:$K$18,4),"")))))</f>
        <v/>
      </c>
      <c r="Z70" s="310" t="str">
        <f t="shared" si="19"/>
        <v/>
      </c>
      <c r="AA70" s="311" t="str">
        <f t="shared" si="20"/>
        <v/>
      </c>
      <c r="AB70" s="354"/>
      <c r="AC70" s="357">
        <f t="shared" si="21"/>
        <v>0</v>
      </c>
      <c r="AD70" s="357">
        <f t="shared" si="22"/>
        <v>0</v>
      </c>
      <c r="AE70" s="354"/>
    </row>
    <row r="71" spans="1:31" ht="13.5" customHeight="1" x14ac:dyDescent="0.25">
      <c r="A71" s="106"/>
      <c r="B71" s="637"/>
      <c r="C71" s="80"/>
      <c r="D71" s="81"/>
      <c r="E71" s="82"/>
      <c r="F71" s="45" t="str">
        <f t="shared" si="3"/>
        <v/>
      </c>
      <c r="G71" s="65"/>
      <c r="H71" s="358" t="str">
        <f>IF(AND(E71="",G71=""),"",SUM(F71:G72))</f>
        <v/>
      </c>
      <c r="I71" s="307" t="str">
        <f>IF(OR(L71="",M71=""),"",IF(L71="3",VLOOKUP(N71,'K% (Rede Convencional)'!$B$18:$H$29,5),(IF(L71="2",VLOOKUP(O71,'K% (Rede Convencional)'!$B$18:$H$29,6),(IF(L71="1",VLOOKUP(O71,'K% (Rede Convencional)'!$B$18:$H$29,7)))))))</f>
        <v/>
      </c>
      <c r="J71" s="307" t="str">
        <f>IF(OR(L71="",M71=""),"",IF(L71="3",VLOOKUP(N71,'K% (Rede Convencional)'!$B$18:$E$29,2),(IF(L71="2",VLOOKUP(O71,'K% (Rede Convencional)'!$B$18:$E$29,3),(IF(L71="1",VLOOKUP(O71,'K% (Rede Convencional)'!$B$18:$E$29,4)))))))</f>
        <v/>
      </c>
      <c r="K71" s="307" t="str">
        <f t="shared" si="14"/>
        <v/>
      </c>
      <c r="L71" s="93"/>
      <c r="M71" s="93"/>
      <c r="N71" s="89">
        <f t="shared" si="10"/>
        <v>0</v>
      </c>
      <c r="O71" s="90" t="str">
        <f>IF(M71="","",IF(M71="4 (4)","a",IF(OR(M71="2 (4)",M71="2 (2)"),VLOOKUP(M71,mT!$AF$21:$AG$22,2,FALSE),IF(OR(M71="1/0 (4)",M71="1/0 (2)"),VLOOKUP(M71,mT!$AF$24:$AG$25,2,FALSE),IF(OR(M71="4/0 (4)",M71="4/0 (2)",M71="4/0 (1/0)"),VLOOKUP(M71,mT!$AF$27:$AG$29,2,FALSE),IF(OR(M71="336,4 (4)",M71="336,4 (2)",M71="336,4 (1/0)",M71="336,4 (4/0)"),VLOOKUP(M71,mT!$AF$31:$AG$34,2,FALSE),""))))))</f>
        <v/>
      </c>
      <c r="P71" s="65"/>
      <c r="Q71" s="309" t="str">
        <f t="shared" si="15"/>
        <v/>
      </c>
      <c r="R71" s="309" t="str">
        <f>IF(Q71="","",SUM($Q$20:Q71))</f>
        <v/>
      </c>
      <c r="S71" s="309" t="str">
        <f t="shared" si="16"/>
        <v/>
      </c>
      <c r="T71" s="310" t="str">
        <f>IF(OR(N71="a",O71="a"),VLOOKUP("a",'Características dos Cabos'!$D$25:$L$29,9),IF(OR(N71="b",N71="c",O71="b",O71="c"),VLOOKUP("b",'Características dos Cabos'!$D$25:$L$29,9),IF(OR(N71="d",N71="e",O71="d",O71="e"),VLOOKUP("c",'Características dos Cabos'!$D$25:$L$29,9),IF(OR(N71="f",N71="g",N71="h",O71="f",O71="g",O71="h"),VLOOKUP("d",'Características dos Cabos'!$D$25:$L$29,9),IF(OR(N71="i",N71="j",N71="l",N71="m",O71="i",O72="j",O72="l",O72="m"),VLOOKUP("e",'Características dos Cabos'!$D$25:$L$29,9),"")))))</f>
        <v/>
      </c>
      <c r="U71" s="310" t="str">
        <f>IF(OR(N71="a",O71="a"),VLOOKUP("a",'Características dos Cabos'!$D$14:$K$18,8),IF(OR(N71="b",N71="c",O71="b",O71="c"),VLOOKUP("b",'Características dos Cabos'!$D$14:$K$18,8),IF(OR(N71="d",N71="e",O71="d",O71="e"),VLOOKUP("c",'Características dos Cabos'!$D$14:$K$18,8),IF(OR(N71="f",N71="g",N71="h",O71="f",O71="g",O71="h"),VLOOKUP("d",'Características dos Cabos'!$D$14:$K$18,8),IF(OR(N71="i",N71="j",N71="l",N71="m",O71="i",O72="j",O72="l",O72="m"),VLOOKUP("e",'Características dos Cabos'!$D$14:$K$18,8),"")))))</f>
        <v/>
      </c>
      <c r="V71" s="310" t="str">
        <f t="shared" si="17"/>
        <v/>
      </c>
      <c r="W71" s="309" t="str">
        <f t="shared" si="18"/>
        <v/>
      </c>
      <c r="X71" s="359" t="str">
        <f>IF(OR(N71="a",O71="a"),VLOOKUP("a",'Características dos Cabos'!$D$25:$L$29,3),IF(OR(N71="b",N71="c",O71="b",O71="c"),VLOOKUP("b",'Características dos Cabos'!$D$25:$L$29,3),IF(OR(N71="d",N71="e",O71="d",O71="e"),VLOOKUP("c",'Características dos Cabos'!$D$25:$L$29,3),IF(OR(N71="f",N71="g",N71="h",O71="f",O71="g",O71="h"),VLOOKUP("d",'Características dos Cabos'!$D$25:$L$29,3),IF(OR(N71="i",N71="j",N71="l",N71="m",O71="i",O71="j",O71="l",O71="m"),VLOOKUP("e",'Características dos Cabos'!$D$25:$L$29,3),"")))))</f>
        <v/>
      </c>
      <c r="Y71" s="359" t="str">
        <f>IF(OR(N71="a",O71="a"),VLOOKUP("a",'Características dos Cabos'!$D$14:$K$18,4),IF(OR(N71="b",N71="c",O71="b",O71="c"),VLOOKUP("b",'Características dos Cabos'!$D$14:$K$18,4),IF(OR(N71="d",N71="e",O71="d",O71="e"),VLOOKUP("c",'Características dos Cabos'!$D$14:$K$18,4),IF(OR(N71="f",N71="g",N71="h",O71="f",O71="g",O71="h"),VLOOKUP("d",'Características dos Cabos'!$D$14:$K$18,4),IF(OR(N71="i",N71="j",N71="l",N71="m",O71="i",O71="j",O71="l",O71="m"),VLOOKUP("e",'Características dos Cabos'!$D$14:$K$18,4),"")))))</f>
        <v/>
      </c>
      <c r="Z71" s="310" t="str">
        <f t="shared" si="19"/>
        <v/>
      </c>
      <c r="AA71" s="311" t="str">
        <f t="shared" si="20"/>
        <v/>
      </c>
      <c r="AB71" s="354"/>
      <c r="AC71" s="357">
        <f t="shared" si="21"/>
        <v>0</v>
      </c>
      <c r="AD71" s="357">
        <f t="shared" si="22"/>
        <v>0</v>
      </c>
      <c r="AE71" s="354"/>
    </row>
    <row r="72" spans="1:31" ht="13.5" customHeight="1" thickBot="1" x14ac:dyDescent="0.3">
      <c r="A72" s="106"/>
      <c r="B72" s="638"/>
      <c r="C72" s="83"/>
      <c r="D72" s="84"/>
      <c r="E72" s="85"/>
      <c r="F72" s="45" t="str">
        <f t="shared" si="3"/>
        <v/>
      </c>
      <c r="G72" s="66"/>
      <c r="H72" s="360" t="str">
        <f>IF(AND(E72="",G72=""),"",SUM(F72:G72))</f>
        <v/>
      </c>
      <c r="I72" s="329" t="str">
        <f>IF(OR(L72="",M72=""),"",IF(L72="3",VLOOKUP(N72,'K% (Rede Convencional)'!$B$18:$H$29,5),(IF(L72="2",VLOOKUP(O72,'K% (Rede Convencional)'!$B$18:$H$29,6),(IF(L72="1",VLOOKUP(O72,'K% (Rede Convencional)'!$B$18:$H$29,7)))))))</f>
        <v/>
      </c>
      <c r="J72" s="329" t="str">
        <f>IF(OR(L72="",M72=""),"",IF(L72="3",VLOOKUP(N72,'K% (Rede Convencional)'!$B$18:$E$29,2),(IF(L72="2",VLOOKUP(O72,'K% (Rede Convencional)'!$B$18:$E$29,3),(IF(L72="1",VLOOKUP(O72,'K% (Rede Convencional)'!$B$18:$E$29,4)))))))</f>
        <v/>
      </c>
      <c r="K72" s="329" t="str">
        <f t="shared" si="14"/>
        <v/>
      </c>
      <c r="L72" s="94"/>
      <c r="M72" s="94"/>
      <c r="N72" s="91">
        <f t="shared" si="10"/>
        <v>0</v>
      </c>
      <c r="O72" s="92" t="str">
        <f>IF(M72="","",IF(M72="4 (4)","a",IF(OR(M72="2 (4)",M72="2 (2)"),VLOOKUP(M72,mT!$AF$21:$AG$22,2,FALSE),IF(OR(M72="1/0 (4)",M72="1/0 (2)"),VLOOKUP(M72,mT!$AF$24:$AG$25,2,FALSE),IF(OR(M72="4/0 (4)",M72="4/0 (2)",M72="4/0 (1/0)"),VLOOKUP(M72,mT!$AF$27:$AG$29,2,FALSE),IF(OR(M72="336,4 (4)",M72="336,4 (2)",M72="336,4 (1/0)",M72="336,4 (4/0)"),VLOOKUP(M72,mT!$AF$31:$AG$34,2,FALSE),""))))))</f>
        <v/>
      </c>
      <c r="P72" s="66"/>
      <c r="Q72" s="331" t="str">
        <f t="shared" si="15"/>
        <v/>
      </c>
      <c r="R72" s="331" t="str">
        <f>IF(Q72="","",SUM($Q$20:Q72))</f>
        <v/>
      </c>
      <c r="S72" s="331" t="str">
        <f t="shared" si="16"/>
        <v/>
      </c>
      <c r="T72" s="332" t="str">
        <f>IF(OR(N72="a",O72="a"),VLOOKUP("a",'Características dos Cabos'!$D$25:$L$29,9),IF(OR(N72="b",N72="c",O72="b",O72="c"),VLOOKUP("b",'Características dos Cabos'!$D$25:$L$29,9),IF(OR(N72="d",N72="e",O72="d",O72="e"),VLOOKUP("c",'Características dos Cabos'!$D$25:$L$29,9),IF(OR(N72="f",N72="g",N72="h",O72="f",O72="g",O72="h"),VLOOKUP("d",'Características dos Cabos'!$D$25:$L$29,9),IF(OR(N72="i",N72="j",N72="l",N72="m",O72="i",O97="j",O97="l",O97="m"),VLOOKUP("e",'Características dos Cabos'!$D$25:$L$29,9),"")))))</f>
        <v/>
      </c>
      <c r="U72" s="332" t="str">
        <f>IF(OR(N72="a",O72="a"),VLOOKUP("a",'Características dos Cabos'!$D$14:$K$18,8),IF(OR(N72="b",N72="c",O72="b",O72="c"),VLOOKUP("b",'Características dos Cabos'!$D$14:$K$18,8),IF(OR(N72="d",N72="e",O72="d",O72="e"),VLOOKUP("c",'Características dos Cabos'!$D$14:$K$18,8),IF(OR(N72="f",N72="g",N72="h",O72="f",O72="g",O72="h"),VLOOKUP("d",'Características dos Cabos'!$D$14:$K$18,8),IF(OR(N72="i",N72="j",N72="l",N72="m",O72="i",O97="j",O97="l",O97="m"),VLOOKUP("e",'Características dos Cabos'!$D$14:$K$18,8),"")))))</f>
        <v/>
      </c>
      <c r="V72" s="332" t="str">
        <f t="shared" si="17"/>
        <v/>
      </c>
      <c r="W72" s="331" t="str">
        <f t="shared" si="18"/>
        <v/>
      </c>
      <c r="X72" s="361" t="str">
        <f>IF(OR(N72="a",O72="a"),VLOOKUP("a",'Características dos Cabos'!$D$25:$L$29,3),IF(OR(N72="b",N72="c",O72="b",O72="c"),VLOOKUP("b",'Características dos Cabos'!$D$25:$L$29,3),IF(OR(N72="d",N72="e",O72="d",O72="e"),VLOOKUP("c",'Características dos Cabos'!$D$25:$L$29,3),IF(OR(N72="f",N72="g",N72="h",O72="f",O72="g",O72="h"),VLOOKUP("d",'Características dos Cabos'!$D$25:$L$29,3),IF(OR(N72="i",N72="j",N72="l",N72="m",O72="i",O72="j",O72="l",O72="m"),VLOOKUP("e",'Características dos Cabos'!$D$25:$L$29,3),"")))))</f>
        <v/>
      </c>
      <c r="Y72" s="361" t="str">
        <f>IF(OR(N72="a",O72="a"),VLOOKUP("a",'Características dos Cabos'!$D$14:$K$18,4),IF(OR(N72="b",N72="c",O72="b",O72="c"),VLOOKUP("b",'Características dos Cabos'!$D$14:$K$18,4),IF(OR(N72="d",N72="e",O72="d",O72="e"),VLOOKUP("c",'Características dos Cabos'!$D$14:$K$18,4),IF(OR(N72="f",N72="g",N72="h",O72="f",O72="g",O72="h"),VLOOKUP("d",'Características dos Cabos'!$D$14:$K$18,4),IF(OR(N72="i",N72="j",N72="l",N72="m",O72="i",O72="j",O72="l",O72="m"),VLOOKUP("e",'Características dos Cabos'!$D$14:$K$18,4),"")))))</f>
        <v/>
      </c>
      <c r="Z72" s="332" t="str">
        <f t="shared" si="19"/>
        <v/>
      </c>
      <c r="AA72" s="333" t="str">
        <f t="shared" si="20"/>
        <v/>
      </c>
      <c r="AB72" s="354"/>
      <c r="AC72" s="357">
        <f t="shared" si="21"/>
        <v>0</v>
      </c>
      <c r="AD72" s="357">
        <f t="shared" si="22"/>
        <v>0</v>
      </c>
      <c r="AE72" s="354"/>
    </row>
    <row r="73" spans="1:31" ht="13.5" customHeight="1" thickTop="1" x14ac:dyDescent="0.25">
      <c r="A73" s="106"/>
      <c r="B73" s="636" t="s">
        <v>240</v>
      </c>
      <c r="C73" s="69"/>
      <c r="D73" s="86"/>
      <c r="E73" s="78"/>
      <c r="F73" s="45" t="str">
        <f t="shared" si="3"/>
        <v/>
      </c>
      <c r="G73" s="79"/>
      <c r="H73" s="355" t="str">
        <f>IF(AND(E73="",G73=""),"",SUM(F73:G76))</f>
        <v/>
      </c>
      <c r="I73" s="321" t="str">
        <f>IF(OR(L73="",M73=""),"",IF(L73="3",VLOOKUP(N73,'K% (Rede Convencional)'!$B$18:$H$29,5),(IF(L73="2",VLOOKUP(O73,'K% (Rede Convencional)'!$B$18:$H$29,6),(IF(L73="1",VLOOKUP(O73,'K% (Rede Convencional)'!$B$18:$H$29,7)))))))</f>
        <v/>
      </c>
      <c r="J73" s="321" t="str">
        <f>IF(OR(L73="",M73=""),"",IF(L73="3",VLOOKUP(N73,'K% (Rede Convencional)'!$B$18:$E$29,2),(IF(L73="2",VLOOKUP(O73,'K% (Rede Convencional)'!$B$18:$E$29,3),(IF(L73="1",VLOOKUP(O73,'K% (Rede Convencional)'!$B$18:$E$29,4)))))))</f>
        <v/>
      </c>
      <c r="K73" s="321" t="str">
        <f t="shared" si="14"/>
        <v/>
      </c>
      <c r="L73" s="95"/>
      <c r="M73" s="95"/>
      <c r="N73" s="87">
        <f t="shared" si="10"/>
        <v>0</v>
      </c>
      <c r="O73" s="88" t="str">
        <f>IF(M73="","",IF(M73="4 (4)","a",IF(OR(M73="2 (4)",M73="2 (2)"),VLOOKUP(M73,mT!$AF$21:$AG$22,2,FALSE),IF(OR(M73="1/0 (4)",M73="1/0 (2)"),VLOOKUP(M73,mT!$AF$24:$AG$25,2,FALSE),IF(OR(M73="4/0 (4)",M73="4/0 (2)",M73="4/0 (1/0)"),VLOOKUP(M73,mT!$AF$27:$AG$29,2,FALSE),IF(OR(M73="336,4 (4)",M73="336,4 (2)",M73="336,4 (1/0)",M73="336,4 (4/0)"),VLOOKUP(M73,mT!$AF$31:$AG$34,2,FALSE),""))))))</f>
        <v/>
      </c>
      <c r="P73" s="79"/>
      <c r="Q73" s="322" t="str">
        <f t="shared" si="15"/>
        <v/>
      </c>
      <c r="R73" s="322" t="str">
        <f>IF(Q73="","",SUM($Q$20:Q73))</f>
        <v/>
      </c>
      <c r="S73" s="322" t="str">
        <f t="shared" si="16"/>
        <v/>
      </c>
      <c r="T73" s="323" t="str">
        <f>IF(OR(N73="a",O73="a"),VLOOKUP("a",'Características dos Cabos'!$D$25:$L$29,9),IF(OR(N73="b",N73="c",O73="b",O73="c"),VLOOKUP("b",'Características dos Cabos'!$D$25:$L$29,9),IF(OR(N73="d",N73="e",O73="d",O73="e"),VLOOKUP("c",'Características dos Cabos'!$D$25:$L$29,9),IF(OR(N73="f",N73="g",N73="h",O73="f",O73="g",O73="h"),VLOOKUP("d",'Características dos Cabos'!$D$25:$L$29,9),IF(OR(N73="i",N73="j",N73="l",N73="m",O73="i",O74="j",O74="l",O74="m"),VLOOKUP("e",'Características dos Cabos'!$D$25:$L$29,9),"")))))</f>
        <v/>
      </c>
      <c r="U73" s="323" t="str">
        <f>IF(OR(N73="a",O73="a"),VLOOKUP("a",'Características dos Cabos'!$D$14:$K$18,8),IF(OR(N73="b",N73="c",O73="b",O73="c"),VLOOKUP("b",'Características dos Cabos'!$D$14:$K$18,8),IF(OR(N73="d",N73="e",O73="d",O73="e"),VLOOKUP("c",'Características dos Cabos'!$D$14:$K$18,8),IF(OR(N73="f",N73="g",N73="h",O73="f",O73="g",O73="h"),VLOOKUP("d",'Características dos Cabos'!$D$14:$K$18,8),IF(OR(N73="i",N73="j",N73="l",N73="m",O73="i",O74="j",O74="l",O74="m"),VLOOKUP("e",'Características dos Cabos'!$D$14:$K$18,8),"")))))</f>
        <v/>
      </c>
      <c r="V73" s="323" t="str">
        <f t="shared" si="17"/>
        <v/>
      </c>
      <c r="W73" s="322" t="str">
        <f t="shared" si="18"/>
        <v/>
      </c>
      <c r="X73" s="356" t="str">
        <f>IF(OR(N73="a",O73="a"),VLOOKUP("a",'Características dos Cabos'!$D$25:$L$29,3),IF(OR(N73="b",N73="c",O73="b",O73="c"),VLOOKUP("b",'Características dos Cabos'!$D$25:$L$29,3),IF(OR(N73="d",N73="e",O73="d",O73="e"),VLOOKUP("c",'Características dos Cabos'!$D$25:$L$29,3),IF(OR(N73="f",N73="g",N73="h",O73="f",O73="g",O73="h"),VLOOKUP("d",'Características dos Cabos'!$D$25:$L$29,3),IF(OR(N73="i",N73="j",N73="l",N73="m",O73="i",O73="j",O73="l",O73="m"),VLOOKUP("e",'Características dos Cabos'!$D$25:$L$29,3),"")))))</f>
        <v/>
      </c>
      <c r="Y73" s="356" t="str">
        <f>IF(OR(N73="a",O73="a"),VLOOKUP("a",'Características dos Cabos'!$D$14:$K$18,4),IF(OR(N73="b",N73="c",O73="b",O73="c"),VLOOKUP("b",'Características dos Cabos'!$D$14:$K$18,4),IF(OR(N73="d",N73="e",O73="d",O73="e"),VLOOKUP("c",'Características dos Cabos'!$D$14:$K$18,4),IF(OR(N73="f",N73="g",N73="h",O73="f",O73="g",O73="h"),VLOOKUP("d",'Características dos Cabos'!$D$14:$K$18,4),IF(OR(N73="i",N73="j",N73="l",N73="m",O73="i",O73="j",O73="l",O73="m"),VLOOKUP("e",'Características dos Cabos'!$D$14:$K$18,4),"")))))</f>
        <v/>
      </c>
      <c r="Z73" s="323" t="str">
        <f t="shared" si="19"/>
        <v/>
      </c>
      <c r="AA73" s="324" t="str">
        <f t="shared" si="20"/>
        <v/>
      </c>
      <c r="AB73" s="367" t="e">
        <f>VLOOKUP(C73,$D$21:$R$35,12,FALSE)</f>
        <v>#N/A</v>
      </c>
      <c r="AC73" s="357">
        <f t="shared" si="21"/>
        <v>0</v>
      </c>
      <c r="AD73" s="357">
        <f t="shared" si="22"/>
        <v>0</v>
      </c>
      <c r="AE73" s="354"/>
    </row>
    <row r="74" spans="1:31" ht="14.25" customHeight="1" x14ac:dyDescent="0.25">
      <c r="A74" s="106"/>
      <c r="B74" s="637"/>
      <c r="C74" s="80"/>
      <c r="D74" s="81"/>
      <c r="E74" s="82"/>
      <c r="F74" s="45" t="str">
        <f t="shared" si="3"/>
        <v/>
      </c>
      <c r="G74" s="65"/>
      <c r="H74" s="358" t="str">
        <f>IF(AND(E74="",G74=""),"",SUM(F74:G76))</f>
        <v/>
      </c>
      <c r="I74" s="307" t="str">
        <f>IF(OR(L74="",M74=""),"",IF(L74="3",VLOOKUP(N74,'K% (Rede Convencional)'!$B$18:$H$29,5),(IF(L74="2",VLOOKUP(O74,'K% (Rede Convencional)'!$B$18:$H$29,6),(IF(L74="1",VLOOKUP(O74,'K% (Rede Convencional)'!$B$18:$H$29,7)))))))</f>
        <v/>
      </c>
      <c r="J74" s="307" t="str">
        <f>IF(OR(L74="",M74=""),"",IF(L74="3",VLOOKUP(N74,'K% (Rede Convencional)'!$B$18:$E$29,2),(IF(L74="2",VLOOKUP(O74,'K% (Rede Convencional)'!$B$18:$E$29,3),(IF(L74="1",VLOOKUP(O74,'K% (Rede Convencional)'!$B$18:$E$29,4)))))))</f>
        <v/>
      </c>
      <c r="K74" s="307" t="str">
        <f t="shared" si="14"/>
        <v/>
      </c>
      <c r="L74" s="93"/>
      <c r="M74" s="93"/>
      <c r="N74" s="89">
        <f t="shared" si="10"/>
        <v>0</v>
      </c>
      <c r="O74" s="90" t="str">
        <f>IF(M74="","",IF(M74="4 (4)","a",IF(OR(M74="2 (4)",M74="2 (2)"),VLOOKUP(M74,mT!$AF$21:$AG$22,2,FALSE),IF(OR(M74="1/0 (4)",M74="1/0 (2)"),VLOOKUP(M74,mT!$AF$24:$AG$25,2,FALSE),IF(OR(M74="4/0 (4)",M74="4/0 (2)",M74="4/0 (1/0)"),VLOOKUP(M74,mT!$AF$27:$AG$29,2,FALSE),IF(OR(M74="336,4 (4)",M74="336,4 (2)",M74="336,4 (1/0)",M74="336,4 (4/0)"),VLOOKUP(M74,mT!$AF$31:$AG$34,2,FALSE),""))))))</f>
        <v/>
      </c>
      <c r="P74" s="65"/>
      <c r="Q74" s="309" t="str">
        <f t="shared" si="15"/>
        <v/>
      </c>
      <c r="R74" s="309" t="str">
        <f>IF(Q74="","",SUM($Q$20:Q74))</f>
        <v/>
      </c>
      <c r="S74" s="309" t="str">
        <f t="shared" si="16"/>
        <v/>
      </c>
      <c r="T74" s="310" t="str">
        <f>IF(OR(N74="a",O74="a"),VLOOKUP("a",'Características dos Cabos'!$D$25:$L$29,9),IF(OR(N74="b",N74="c",O74="b",O74="c"),VLOOKUP("b",'Características dos Cabos'!$D$25:$L$29,9),IF(OR(N74="d",N74="e",O74="d",O74="e"),VLOOKUP("c",'Características dos Cabos'!$D$25:$L$29,9),IF(OR(N74="f",N74="g",N74="h",O74="f",O74="g",O74="h"),VLOOKUP("d",'Características dos Cabos'!$D$25:$L$29,9),IF(OR(N74="i",N74="j",N74="l",N74="m",O74="i",O75="j",O75="l",O75="m"),VLOOKUP("e",'Características dos Cabos'!$D$25:$L$29,9),"")))))</f>
        <v/>
      </c>
      <c r="U74" s="310" t="str">
        <f>IF(OR(N74="a",O74="a"),VLOOKUP("a",'Características dos Cabos'!$D$14:$K$18,8),IF(OR(N74="b",N74="c",O74="b",O74="c"),VLOOKUP("b",'Características dos Cabos'!$D$14:$K$18,8),IF(OR(N74="d",N74="e",O74="d",O74="e"),VLOOKUP("c",'Características dos Cabos'!$D$14:$K$18,8),IF(OR(N74="f",N74="g",N74="h",O74="f",O74="g",O74="h"),VLOOKUP("d",'Características dos Cabos'!$D$14:$K$18,8),IF(OR(N74="i",N74="j",N74="l",N74="m",O74="i",O75="j",O75="l",O75="m"),VLOOKUP("e",'Características dos Cabos'!$D$14:$K$18,8),"")))))</f>
        <v/>
      </c>
      <c r="V74" s="310" t="str">
        <f t="shared" si="17"/>
        <v/>
      </c>
      <c r="W74" s="309" t="str">
        <f t="shared" si="18"/>
        <v/>
      </c>
      <c r="X74" s="359" t="str">
        <f>IF(OR(N74="a",O74="a"),VLOOKUP("a",'Características dos Cabos'!$D$25:$L$29,3),IF(OR(N74="b",N74="c",O74="b",O74="c"),VLOOKUP("b",'Características dos Cabos'!$D$25:$L$29,3),IF(OR(N74="d",N74="e",O74="d",O74="e"),VLOOKUP("c",'Características dos Cabos'!$D$25:$L$29,3),IF(OR(N74="f",N74="g",N74="h",O74="f",O74="g",O74="h"),VLOOKUP("d",'Características dos Cabos'!$D$25:$L$29,3),IF(OR(N74="i",N74="j",N74="l",N74="m",O74="i",O74="j",O74="l",O74="m"),VLOOKUP("e",'Características dos Cabos'!$D$25:$L$29,3),"")))))</f>
        <v/>
      </c>
      <c r="Y74" s="359" t="str">
        <f>IF(OR(N74="a",O74="a"),VLOOKUP("a",'Características dos Cabos'!$D$14:$K$18,4),IF(OR(N74="b",N74="c",O74="b",O74="c"),VLOOKUP("b",'Características dos Cabos'!$D$14:$K$18,4),IF(OR(N74="d",N74="e",O74="d",O74="e"),VLOOKUP("c",'Características dos Cabos'!$D$14:$K$18,4),IF(OR(N74="f",N74="g",N74="h",O74="f",O74="g",O74="h"),VLOOKUP("d",'Características dos Cabos'!$D$14:$K$18,4),IF(OR(N74="i",N74="j",N74="l",N74="m",O74="i",O74="j",O74="l",O74="m"),VLOOKUP("e",'Características dos Cabos'!$D$14:$K$18,4),"")))))</f>
        <v/>
      </c>
      <c r="Z74" s="310" t="str">
        <f t="shared" si="19"/>
        <v/>
      </c>
      <c r="AA74" s="311" t="str">
        <f t="shared" si="20"/>
        <v/>
      </c>
      <c r="AB74" s="354"/>
      <c r="AC74" s="357">
        <f t="shared" si="21"/>
        <v>0</v>
      </c>
      <c r="AD74" s="357">
        <f t="shared" si="22"/>
        <v>0</v>
      </c>
      <c r="AE74" s="354"/>
    </row>
    <row r="75" spans="1:31" ht="13.5" customHeight="1" x14ac:dyDescent="0.25">
      <c r="A75" s="106"/>
      <c r="B75" s="637"/>
      <c r="C75" s="80"/>
      <c r="D75" s="81"/>
      <c r="E75" s="82"/>
      <c r="F75" s="45" t="str">
        <f t="shared" si="3"/>
        <v/>
      </c>
      <c r="G75" s="65"/>
      <c r="H75" s="358" t="str">
        <f>IF(AND(E75="",G75=""),"",SUM(F75:G76))</f>
        <v/>
      </c>
      <c r="I75" s="307" t="str">
        <f>IF(OR(L75="",M75=""),"",IF(L75="3",VLOOKUP(N75,'K% (Rede Convencional)'!$B$18:$H$29,5),(IF(L75="2",VLOOKUP(O75,'K% (Rede Convencional)'!$B$18:$H$29,6),(IF(L75="1",VLOOKUP(O75,'K% (Rede Convencional)'!$B$18:$H$29,7)))))))</f>
        <v/>
      </c>
      <c r="J75" s="307" t="str">
        <f>IF(OR(L75="",M75=""),"",IF(L75="3",VLOOKUP(N75,'K% (Rede Convencional)'!$B$18:$E$29,2),(IF(L75="2",VLOOKUP(O75,'K% (Rede Convencional)'!$B$18:$E$29,3),(IF(L75="1",VLOOKUP(O75,'K% (Rede Convencional)'!$B$18:$E$29,4)))))))</f>
        <v/>
      </c>
      <c r="K75" s="307" t="str">
        <f t="shared" si="14"/>
        <v/>
      </c>
      <c r="L75" s="93"/>
      <c r="M75" s="93"/>
      <c r="N75" s="89">
        <f t="shared" si="10"/>
        <v>0</v>
      </c>
      <c r="O75" s="90" t="str">
        <f>IF(M75="","",IF(M75="4 (4)","a",IF(OR(M75="2 (4)",M75="2 (2)"),VLOOKUP(M75,mT!$AF$21:$AG$22,2,FALSE),IF(OR(M75="1/0 (4)",M75="1/0 (2)"),VLOOKUP(M75,mT!$AF$24:$AG$25,2,FALSE),IF(OR(M75="4/0 (4)",M75="4/0 (2)",M75="4/0 (1/0)"),VLOOKUP(M75,mT!$AF$27:$AG$29,2,FALSE),IF(OR(M75="336,4 (4)",M75="336,4 (2)",M75="336,4 (1/0)",M75="336,4 (4/0)"),VLOOKUP(M75,mT!$AF$31:$AG$34,2,FALSE),""))))))</f>
        <v/>
      </c>
      <c r="P75" s="65"/>
      <c r="Q75" s="309" t="str">
        <f t="shared" si="15"/>
        <v/>
      </c>
      <c r="R75" s="309" t="str">
        <f>IF(Q75="","",SUM($Q$20:Q75))</f>
        <v/>
      </c>
      <c r="S75" s="309" t="str">
        <f t="shared" si="16"/>
        <v/>
      </c>
      <c r="T75" s="310" t="str">
        <f>IF(OR(N75="a",O75="a"),VLOOKUP("a",'Características dos Cabos'!$D$25:$L$29,9),IF(OR(N75="b",N75="c",O75="b",O75="c"),VLOOKUP("b",'Características dos Cabos'!$D$25:$L$29,9),IF(OR(N75="d",N75="e",O75="d",O75="e"),VLOOKUP("c",'Características dos Cabos'!$D$25:$L$29,9),IF(OR(N75="f",N75="g",N75="h",O75="f",O75="g",O75="h"),VLOOKUP("d",'Características dos Cabos'!$D$25:$L$29,9),IF(OR(N75="i",N75="j",N75="l",N75="m",O75="i",O76="j",O76="l",O76="m"),VLOOKUP("e",'Características dos Cabos'!$D$25:$L$29,9),"")))))</f>
        <v/>
      </c>
      <c r="U75" s="310" t="str">
        <f>IF(OR(N75="a",O75="a"),VLOOKUP("a",'Características dos Cabos'!$D$14:$K$18,8),IF(OR(N75="b",N75="c",O75="b",O75="c"),VLOOKUP("b",'Características dos Cabos'!$D$14:$K$18,8),IF(OR(N75="d",N75="e",O75="d",O75="e"),VLOOKUP("c",'Características dos Cabos'!$D$14:$K$18,8),IF(OR(N75="f",N75="g",N75="h",O75="f",O75="g",O75="h"),VLOOKUP("d",'Características dos Cabos'!$D$14:$K$18,8),IF(OR(N75="i",N75="j",N75="l",N75="m",O75="i",O76="j",O76="l",O76="m"),VLOOKUP("e",'Características dos Cabos'!$D$14:$K$18,8),"")))))</f>
        <v/>
      </c>
      <c r="V75" s="310" t="str">
        <f t="shared" si="17"/>
        <v/>
      </c>
      <c r="W75" s="309" t="str">
        <f t="shared" si="18"/>
        <v/>
      </c>
      <c r="X75" s="359" t="str">
        <f>IF(OR(N75="a",O75="a"),VLOOKUP("a",'Características dos Cabos'!$D$25:$L$29,3),IF(OR(N75="b",N75="c",O75="b",O75="c"),VLOOKUP("b",'Características dos Cabos'!$D$25:$L$29,3),IF(OR(N75="d",N75="e",O75="d",O75="e"),VLOOKUP("c",'Características dos Cabos'!$D$25:$L$29,3),IF(OR(N75="f",N75="g",N75="h",O75="f",O75="g",O75="h"),VLOOKUP("d",'Características dos Cabos'!$D$25:$L$29,3),IF(OR(N75="i",N75="j",N75="l",N75="m",O75="i",O75="j",O75="l",O75="m"),VLOOKUP("e",'Características dos Cabos'!$D$25:$L$29,3),"")))))</f>
        <v/>
      </c>
      <c r="Y75" s="359" t="str">
        <f>IF(OR(N75="a",O75="a"),VLOOKUP("a",'Características dos Cabos'!$D$14:$K$18,4),IF(OR(N75="b",N75="c",O75="b",O75="c"),VLOOKUP("b",'Características dos Cabos'!$D$14:$K$18,4),IF(OR(N75="d",N75="e",O75="d",O75="e"),VLOOKUP("c",'Características dos Cabos'!$D$14:$K$18,4),IF(OR(N75="f",N75="g",N75="h",O75="f",O75="g",O75="h"),VLOOKUP("d",'Características dos Cabos'!$D$14:$K$18,4),IF(OR(N75="i",N75="j",N75="l",N75="m",O75="i",O75="j",O75="l",O75="m"),VLOOKUP("e",'Características dos Cabos'!$D$14:$K$18,4),"")))))</f>
        <v/>
      </c>
      <c r="Z75" s="310" t="str">
        <f t="shared" si="19"/>
        <v/>
      </c>
      <c r="AA75" s="311" t="str">
        <f t="shared" si="20"/>
        <v/>
      </c>
      <c r="AB75" s="354"/>
      <c r="AC75" s="357">
        <f t="shared" si="21"/>
        <v>0</v>
      </c>
      <c r="AD75" s="357">
        <f t="shared" si="22"/>
        <v>0</v>
      </c>
      <c r="AE75" s="354"/>
    </row>
    <row r="76" spans="1:31" ht="13.5" customHeight="1" thickBot="1" x14ac:dyDescent="0.3">
      <c r="A76" s="106"/>
      <c r="B76" s="638"/>
      <c r="C76" s="83"/>
      <c r="D76" s="84"/>
      <c r="E76" s="85"/>
      <c r="F76" s="45" t="str">
        <f t="shared" si="3"/>
        <v/>
      </c>
      <c r="G76" s="66"/>
      <c r="H76" s="360" t="str">
        <f>IF(AND(E76="",G76=""),"",SUM(F76:G76))</f>
        <v/>
      </c>
      <c r="I76" s="329" t="str">
        <f>IF(OR(L76="",M76=""),"",IF(L76="3",VLOOKUP(N76,'K% (Rede Convencional)'!$B$18:$H$29,5),(IF(L76="2",VLOOKUP(O76,'K% (Rede Convencional)'!$B$18:$H$29,6),(IF(L76="1",VLOOKUP(O76,'K% (Rede Convencional)'!$B$18:$H$29,7)))))))</f>
        <v/>
      </c>
      <c r="J76" s="329" t="str">
        <f>IF(OR(L76="",M76=""),"",IF(L76="3",VLOOKUP(N76,'K% (Rede Convencional)'!$B$18:$E$29,2),(IF(L76="2",VLOOKUP(O76,'K% (Rede Convencional)'!$B$18:$E$29,3),(IF(L76="1",VLOOKUP(O76,'K% (Rede Convencional)'!$B$18:$E$29,4)))))))</f>
        <v/>
      </c>
      <c r="K76" s="329" t="str">
        <f t="shared" si="14"/>
        <v/>
      </c>
      <c r="L76" s="94"/>
      <c r="M76" s="94"/>
      <c r="N76" s="91">
        <f t="shared" si="10"/>
        <v>0</v>
      </c>
      <c r="O76" s="92" t="str">
        <f>IF(M76="","",IF(M76="4 (4)","a",IF(OR(M76="2 (4)",M76="2 (2)"),VLOOKUP(M76,mT!$AF$21:$AG$22,2,FALSE),IF(OR(M76="1/0 (4)",M76="1/0 (2)"),VLOOKUP(M76,mT!$AF$24:$AG$25,2,FALSE),IF(OR(M76="4/0 (4)",M76="4/0 (2)",M76="4/0 (1/0)"),VLOOKUP(M76,mT!$AF$27:$AG$29,2,FALSE),IF(OR(M76="336,4 (4)",M76="336,4 (2)",M76="336,4 (1/0)",M76="336,4 (4/0)"),VLOOKUP(M76,mT!$AF$31:$AG$34,2,FALSE),""))))))</f>
        <v/>
      </c>
      <c r="P76" s="66"/>
      <c r="Q76" s="331" t="str">
        <f t="shared" si="15"/>
        <v/>
      </c>
      <c r="R76" s="331" t="str">
        <f>IF(Q76="","",SUM($Q$20:Q76))</f>
        <v/>
      </c>
      <c r="S76" s="331" t="str">
        <f t="shared" si="16"/>
        <v/>
      </c>
      <c r="T76" s="332" t="str">
        <f>IF(OR(N76="a",O76="a"),VLOOKUP("a",'Características dos Cabos'!$D$25:$L$29,9),IF(OR(N76="b",N76="c",O76="b",O76="c"),VLOOKUP("b",'Características dos Cabos'!$D$25:$L$29,9),IF(OR(N76="d",N76="e",O76="d",O76="e"),VLOOKUP("c",'Características dos Cabos'!$D$25:$L$29,9),IF(OR(N76="f",N76="g",N76="h",O76="f",O76="g",O76="h"),VLOOKUP("d",'Características dos Cabos'!$D$25:$L$29,9),IF(OR(N76="i",N76="j",N76="l",N76="m",O76="i",O101="j",O101="l",O101="m"),VLOOKUP("e",'Características dos Cabos'!$D$25:$L$29,9),"")))))</f>
        <v/>
      </c>
      <c r="U76" s="332" t="str">
        <f>IF(OR(N76="a",O76="a"),VLOOKUP("a",'Características dos Cabos'!$D$14:$K$18,8),IF(OR(N76="b",N76="c",O76="b",O76="c"),VLOOKUP("b",'Características dos Cabos'!$D$14:$K$18,8),IF(OR(N76="d",N76="e",O76="d",O76="e"),VLOOKUP("c",'Características dos Cabos'!$D$14:$K$18,8),IF(OR(N76="f",N76="g",N76="h",O76="f",O76="g",O76="h"),VLOOKUP("d",'Características dos Cabos'!$D$14:$K$18,8),IF(OR(N76="i",N76="j",N76="l",N76="m",O76="i",O101="j",O101="l",O101="m"),VLOOKUP("e",'Características dos Cabos'!$D$14:$K$18,8),"")))))</f>
        <v/>
      </c>
      <c r="V76" s="332" t="str">
        <f t="shared" si="17"/>
        <v/>
      </c>
      <c r="W76" s="331" t="str">
        <f t="shared" si="18"/>
        <v/>
      </c>
      <c r="X76" s="361" t="str">
        <f>IF(OR(N76="a",O76="a"),VLOOKUP("a",'Características dos Cabos'!$D$25:$L$29,3),IF(OR(N76="b",N76="c",O76="b",O76="c"),VLOOKUP("b",'Características dos Cabos'!$D$25:$L$29,3),IF(OR(N76="d",N76="e",O76="d",O76="e"),VLOOKUP("c",'Características dos Cabos'!$D$25:$L$29,3),IF(OR(N76="f",N76="g",N76="h",O76="f",O76="g",O76="h"),VLOOKUP("d",'Características dos Cabos'!$D$25:$L$29,3),IF(OR(N76="i",N76="j",N76="l",N76="m",O76="i",O76="j",O76="l",O76="m"),VLOOKUP("e",'Características dos Cabos'!$D$25:$L$29,3),"")))))</f>
        <v/>
      </c>
      <c r="Y76" s="361" t="str">
        <f>IF(OR(N76="a",O76="a"),VLOOKUP("a",'Características dos Cabos'!$D$14:$K$18,4),IF(OR(N76="b",N76="c",O76="b",O76="c"),VLOOKUP("b",'Características dos Cabos'!$D$14:$K$18,4),IF(OR(N76="d",N76="e",O76="d",O76="e"),VLOOKUP("c",'Características dos Cabos'!$D$14:$K$18,4),IF(OR(N76="f",N76="g",N76="h",O76="f",O76="g",O76="h"),VLOOKUP("d",'Características dos Cabos'!$D$14:$K$18,4),IF(OR(N76="i",N76="j",N76="l",N76="m",O76="i",O76="j",O76="l",O76="m"),VLOOKUP("e",'Características dos Cabos'!$D$14:$K$18,4),"")))))</f>
        <v/>
      </c>
      <c r="Z76" s="332" t="str">
        <f t="shared" si="19"/>
        <v/>
      </c>
      <c r="AA76" s="333" t="str">
        <f t="shared" si="20"/>
        <v/>
      </c>
      <c r="AB76" s="354"/>
      <c r="AC76" s="357">
        <f t="shared" si="21"/>
        <v>0</v>
      </c>
      <c r="AD76" s="357">
        <f t="shared" si="22"/>
        <v>0</v>
      </c>
      <c r="AE76" s="354"/>
    </row>
    <row r="77" spans="1:31" ht="13.5" customHeight="1" thickTop="1" x14ac:dyDescent="0.25"/>
    <row r="79" spans="1:31" ht="13.5" customHeight="1" x14ac:dyDescent="0.25"/>
    <row r="80" spans="1:31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7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7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</sheetData>
  <sheetProtection password="DEE8" sheet="1" objects="1" scenarios="1" selectLockedCells="1"/>
  <customSheetViews>
    <customSheetView guid="{ADCFDDAA-AF71-42CE-8FD7-7ABB67CB940B}" showPageBreaks="1" showGridLines="0" printArea="1" hiddenColumns="1" view="pageBreakPreview">
      <selection activeCell="AB1" sqref="AB1:AK1048576"/>
      <rowBreaks count="1" manualBreakCount="1">
        <brk id="52" max="26" man="1"/>
      </rowBreaks>
      <pageMargins left="0.19685039370078741" right="0.59055118110236227" top="0.39370078740157483" bottom="0" header="0.51181102362204722" footer="0.51181102362204722"/>
      <printOptions horizontalCentered="1"/>
      <pageSetup paperSize="9" scale="80" orientation="landscape" horizontalDpi="4294967294" verticalDpi="144" r:id="rId1"/>
      <headerFooter alignWithMargins="0"/>
    </customSheetView>
  </customSheetViews>
  <mergeCells count="55">
    <mergeCell ref="B69:B72"/>
    <mergeCell ref="B73:B76"/>
    <mergeCell ref="B53:B56"/>
    <mergeCell ref="B57:B60"/>
    <mergeCell ref="B61:B64"/>
    <mergeCell ref="B65:B68"/>
    <mergeCell ref="D9:G9"/>
    <mergeCell ref="J9:L9"/>
    <mergeCell ref="Q8:W8"/>
    <mergeCell ref="D8:G8"/>
    <mergeCell ref="I8:N8"/>
    <mergeCell ref="Q9:AA9"/>
    <mergeCell ref="A3:AA3"/>
    <mergeCell ref="A2:AA2"/>
    <mergeCell ref="A6:AA6"/>
    <mergeCell ref="B49:B52"/>
    <mergeCell ref="E15:G15"/>
    <mergeCell ref="L18:L19"/>
    <mergeCell ref="I18:I19"/>
    <mergeCell ref="B37:B40"/>
    <mergeCell ref="B41:B44"/>
    <mergeCell ref="B45:B48"/>
    <mergeCell ref="B20:B35"/>
    <mergeCell ref="H18:H19"/>
    <mergeCell ref="C18:D18"/>
    <mergeCell ref="H15:K15"/>
    <mergeCell ref="E18:E19"/>
    <mergeCell ref="G18:G19"/>
    <mergeCell ref="C15:D15"/>
    <mergeCell ref="X18:X19"/>
    <mergeCell ref="U18:U19"/>
    <mergeCell ref="W18:W19"/>
    <mergeCell ref="P18:P19"/>
    <mergeCell ref="T18:T19"/>
    <mergeCell ref="V18:V19"/>
    <mergeCell ref="Q18:Q19"/>
    <mergeCell ref="L15:M15"/>
    <mergeCell ref="M18:M19"/>
    <mergeCell ref="AA18:AA19"/>
    <mergeCell ref="H13:K13"/>
    <mergeCell ref="Z18:Z19"/>
    <mergeCell ref="R18:R19"/>
    <mergeCell ref="J18:J19"/>
    <mergeCell ref="K18:K19"/>
    <mergeCell ref="S18:S19"/>
    <mergeCell ref="Y18:Y19"/>
    <mergeCell ref="P11:Q11"/>
    <mergeCell ref="R11:S11"/>
    <mergeCell ref="C11:D11"/>
    <mergeCell ref="E11:G11"/>
    <mergeCell ref="L13:M13"/>
    <mergeCell ref="E13:G13"/>
    <mergeCell ref="C13:D13"/>
    <mergeCell ref="L11:M11"/>
    <mergeCell ref="H11:K11"/>
  </mergeCells>
  <phoneticPr fontId="0" type="noConversion"/>
  <printOptions horizontalCentered="1"/>
  <pageMargins left="0.39370078740157483" right="0.39370078740157483" top="0.39370078740157483" bottom="0" header="0.51181102362204722" footer="0.51181102362204722"/>
  <pageSetup paperSize="9" scale="80" orientation="landscape" horizontalDpi="4294967294" verticalDpi="144" r:id="rId2"/>
  <headerFooter alignWithMargins="0"/>
  <rowBreaks count="1" manualBreakCount="1">
    <brk id="52" max="26" man="1"/>
  </rowBreak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Capa!$V$5:$V$6</xm:f>
          </x14:formula1>
          <xm:sqref>D14</xm:sqref>
        </x14:dataValidation>
        <x14:dataValidation type="list" allowBlank="1" showInputMessage="1" showErrorMessage="1">
          <x14:formula1>
            <xm:f>Capa!$X$5:$X$6</xm:f>
          </x14:formula1>
          <xm:sqref>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B47"/>
  <sheetViews>
    <sheetView showGridLines="0" view="pageBreakPreview" zoomScale="73" zoomScaleNormal="75" zoomScaleSheetLayoutView="100" workbookViewId="0">
      <selection activeCell="J19" sqref="J19"/>
    </sheetView>
  </sheetViews>
  <sheetFormatPr defaultRowHeight="12.5" x14ac:dyDescent="0.25"/>
  <cols>
    <col min="1" max="1" width="10.26953125" customWidth="1"/>
    <col min="2" max="2" width="10.26953125" hidden="1" customWidth="1"/>
    <col min="3" max="3" width="10.54296875" customWidth="1"/>
    <col min="4" max="5" width="10.1796875" customWidth="1"/>
    <col min="6" max="6" width="10.7265625" customWidth="1"/>
    <col min="7" max="7" width="10.1796875" customWidth="1"/>
    <col min="8" max="8" width="10.453125" customWidth="1"/>
    <col min="9" max="9" width="10.54296875" customWidth="1"/>
    <col min="10" max="11" width="10.81640625" customWidth="1"/>
    <col min="12" max="12" width="11.26953125" customWidth="1"/>
    <col min="13" max="13" width="10.54296875" customWidth="1"/>
    <col min="14" max="14" width="8.81640625" customWidth="1"/>
    <col min="15" max="15" width="8.7265625" customWidth="1"/>
    <col min="16" max="16" width="9" customWidth="1"/>
    <col min="17" max="17" width="5.54296875" customWidth="1"/>
    <col min="19" max="19" width="5" customWidth="1"/>
    <col min="20" max="20" width="5.453125" customWidth="1"/>
    <col min="22" max="22" width="4.81640625" customWidth="1"/>
    <col min="23" max="23" width="6.26953125" customWidth="1"/>
    <col min="25" max="25" width="4.7265625" customWidth="1"/>
  </cols>
  <sheetData>
    <row r="1" spans="1:28" ht="11.25" customHeight="1" x14ac:dyDescent="0.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8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657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</row>
    <row r="3" spans="1:28" ht="20" x14ac:dyDescent="0.4">
      <c r="A3" s="658" t="s">
        <v>244</v>
      </c>
      <c r="B3" s="658"/>
      <c r="C3" s="658"/>
      <c r="D3" s="658"/>
      <c r="E3" s="658"/>
      <c r="F3" s="658"/>
      <c r="G3" s="658"/>
      <c r="H3" s="658"/>
      <c r="I3" s="658"/>
      <c r="J3" s="658"/>
      <c r="K3" s="658"/>
      <c r="L3" s="658"/>
      <c r="M3" s="658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</row>
    <row r="5" spans="1:28" ht="20" x14ac:dyDescent="0.4">
      <c r="A5" s="658" t="s">
        <v>245</v>
      </c>
      <c r="B5" s="658"/>
      <c r="C5" s="658"/>
      <c r="D5" s="658"/>
      <c r="E5" s="658"/>
      <c r="F5" s="658"/>
      <c r="G5" s="658"/>
      <c r="H5" s="658"/>
      <c r="I5" s="658"/>
      <c r="J5" s="658"/>
      <c r="K5" s="658"/>
      <c r="L5" s="658"/>
      <c r="M5" s="658"/>
    </row>
    <row r="6" spans="1:28" ht="12" customHeight="1" thickBot="1" x14ac:dyDescent="0.55000000000000004">
      <c r="A6" s="106"/>
      <c r="B6" s="106"/>
      <c r="C6" s="107"/>
      <c r="D6" s="107"/>
      <c r="E6" s="107"/>
      <c r="F6" s="107"/>
      <c r="G6" s="107"/>
      <c r="H6" s="107"/>
      <c r="I6" s="106"/>
      <c r="J6" s="106"/>
      <c r="K6" s="106"/>
      <c r="L6" s="106"/>
      <c r="M6" s="106"/>
    </row>
    <row r="7" spans="1:28" ht="13.5" customHeight="1" x14ac:dyDescent="0.25">
      <c r="A7" s="106"/>
      <c r="B7" s="106"/>
      <c r="C7" s="661" t="s">
        <v>125</v>
      </c>
      <c r="D7" s="662"/>
      <c r="E7" s="662"/>
      <c r="F7" s="662"/>
      <c r="G7" s="662"/>
      <c r="H7" s="662"/>
      <c r="I7" s="663" t="s">
        <v>126</v>
      </c>
      <c r="J7" s="664"/>
      <c r="K7" s="664"/>
      <c r="L7" s="664"/>
      <c r="M7" s="665"/>
    </row>
    <row r="8" spans="1:28" ht="12.75" customHeight="1" thickBot="1" x14ac:dyDescent="0.3">
      <c r="A8" s="106"/>
      <c r="B8" s="106"/>
      <c r="C8" s="108"/>
      <c r="D8" s="105"/>
      <c r="E8" s="105"/>
      <c r="F8" s="105"/>
      <c r="G8" s="105"/>
      <c r="H8" s="105"/>
      <c r="I8" s="669" t="s">
        <v>43</v>
      </c>
      <c r="J8" s="659"/>
      <c r="K8" s="105"/>
      <c r="L8" s="659" t="s">
        <v>44</v>
      </c>
      <c r="M8" s="660"/>
    </row>
    <row r="9" spans="1:28" x14ac:dyDescent="0.25">
      <c r="A9" s="106"/>
      <c r="B9" s="106"/>
      <c r="C9" s="109" t="s">
        <v>45</v>
      </c>
      <c r="D9" s="110">
        <f>13.8</f>
        <v>13.8</v>
      </c>
      <c r="E9" s="106"/>
      <c r="F9" s="106"/>
      <c r="G9" s="106"/>
      <c r="H9" s="106"/>
      <c r="I9" s="109" t="s">
        <v>76</v>
      </c>
      <c r="J9" s="111">
        <f>'BT-MX'!D13</f>
        <v>220</v>
      </c>
      <c r="K9" s="106"/>
      <c r="L9" s="109" t="s">
        <v>76</v>
      </c>
      <c r="M9" s="112">
        <f>'BT-MX'!D13</f>
        <v>220</v>
      </c>
    </row>
    <row r="10" spans="1:28" x14ac:dyDescent="0.25">
      <c r="A10" s="106"/>
      <c r="B10" s="106"/>
      <c r="C10" s="113"/>
      <c r="D10" s="114"/>
      <c r="E10" s="106"/>
      <c r="F10" s="106"/>
      <c r="G10" s="106"/>
      <c r="H10" s="106"/>
      <c r="I10" s="113"/>
      <c r="J10" s="114"/>
      <c r="K10" s="106"/>
      <c r="L10" s="113"/>
      <c r="M10" s="114"/>
    </row>
    <row r="11" spans="1:28" x14ac:dyDescent="0.25">
      <c r="A11" s="106"/>
      <c r="B11" s="106"/>
      <c r="C11" s="108"/>
      <c r="D11" s="115"/>
      <c r="E11" s="106"/>
      <c r="F11" s="106"/>
      <c r="G11" s="106"/>
      <c r="H11" s="106"/>
      <c r="I11" s="108"/>
      <c r="J11" s="115"/>
      <c r="K11" s="106"/>
      <c r="L11" s="108"/>
      <c r="M11" s="115"/>
    </row>
    <row r="12" spans="1:28" x14ac:dyDescent="0.25">
      <c r="A12" s="106"/>
      <c r="B12" s="106"/>
      <c r="C12" s="113" t="s">
        <v>46</v>
      </c>
      <c r="D12" s="116">
        <v>0.92</v>
      </c>
      <c r="E12" s="106"/>
      <c r="F12" s="106"/>
      <c r="G12" s="106"/>
      <c r="H12" s="106"/>
      <c r="I12" s="113" t="s">
        <v>46</v>
      </c>
      <c r="J12" s="117">
        <f>'BT-MX'!G13</f>
        <v>0.92</v>
      </c>
      <c r="K12" s="106"/>
      <c r="L12" s="113" t="s">
        <v>46</v>
      </c>
      <c r="M12" s="118">
        <f>'BT-MX'!G13</f>
        <v>0.92</v>
      </c>
    </row>
    <row r="13" spans="1:28" ht="13" thickBot="1" x14ac:dyDescent="0.3">
      <c r="A13" s="106"/>
      <c r="B13" s="106"/>
      <c r="C13" s="119" t="s">
        <v>47</v>
      </c>
      <c r="D13" s="120">
        <f>(ACOS(D12)/3.1416)*180</f>
        <v>23.073864108899617</v>
      </c>
      <c r="E13" s="106"/>
      <c r="F13" s="106"/>
      <c r="G13" s="106"/>
      <c r="H13" s="106"/>
      <c r="I13" s="119" t="s">
        <v>47</v>
      </c>
      <c r="J13" s="120">
        <f>(ACOS(J12)/3.1416)*180</f>
        <v>23.073864108899617</v>
      </c>
      <c r="K13" s="106"/>
      <c r="L13" s="119" t="s">
        <v>47</v>
      </c>
      <c r="M13" s="120">
        <f>(ACOS(M12)/3.1416)*180</f>
        <v>23.073864108899617</v>
      </c>
    </row>
    <row r="14" spans="1:28" ht="12.75" customHeight="1" thickBot="1" x14ac:dyDescent="0.3">
      <c r="A14" s="106"/>
      <c r="B14" s="106"/>
      <c r="C14" s="675" t="s">
        <v>48</v>
      </c>
      <c r="D14" s="676"/>
      <c r="E14" s="106"/>
      <c r="F14" s="106"/>
      <c r="G14" s="106"/>
      <c r="H14" s="106"/>
      <c r="I14" s="675" t="s">
        <v>48</v>
      </c>
      <c r="J14" s="676"/>
      <c r="K14" s="105"/>
      <c r="L14" s="675" t="s">
        <v>48</v>
      </c>
      <c r="M14" s="676"/>
      <c r="N14" s="2"/>
    </row>
    <row r="15" spans="1:28" ht="14.25" customHeight="1" thickBot="1" x14ac:dyDescent="0.45">
      <c r="A15" s="106"/>
      <c r="B15" s="121"/>
      <c r="C15" s="672" t="s">
        <v>49</v>
      </c>
      <c r="D15" s="673"/>
      <c r="E15" s="673"/>
      <c r="F15" s="672" t="s">
        <v>50</v>
      </c>
      <c r="G15" s="673"/>
      <c r="H15" s="673"/>
      <c r="I15" s="673"/>
      <c r="J15" s="673"/>
      <c r="K15" s="673"/>
      <c r="L15" s="673"/>
      <c r="M15" s="674"/>
      <c r="N15" s="12"/>
      <c r="O15" s="13"/>
    </row>
    <row r="16" spans="1:28" ht="15.75" customHeight="1" x14ac:dyDescent="0.25">
      <c r="A16" s="667" t="s">
        <v>51</v>
      </c>
      <c r="B16" s="122"/>
      <c r="C16" s="123" t="s">
        <v>52</v>
      </c>
      <c r="D16" s="124" t="s">
        <v>53</v>
      </c>
      <c r="E16" s="125" t="s">
        <v>54</v>
      </c>
      <c r="F16" s="123" t="s">
        <v>52</v>
      </c>
      <c r="G16" s="124" t="s">
        <v>53</v>
      </c>
      <c r="H16" s="125" t="s">
        <v>54</v>
      </c>
      <c r="I16" s="670" t="s">
        <v>55</v>
      </c>
      <c r="J16" s="671"/>
      <c r="K16" s="126" t="s">
        <v>56</v>
      </c>
      <c r="L16" s="127" t="s">
        <v>55</v>
      </c>
      <c r="M16" s="127" t="s">
        <v>56</v>
      </c>
      <c r="AA16" s="4"/>
      <c r="AB16" s="4"/>
    </row>
    <row r="17" spans="1:28" ht="28.5" customHeight="1" thickBot="1" x14ac:dyDescent="0.3">
      <c r="A17" s="668"/>
      <c r="B17" s="128"/>
      <c r="C17" s="129" t="s">
        <v>57</v>
      </c>
      <c r="D17" s="130" t="s">
        <v>58</v>
      </c>
      <c r="E17" s="131" t="s">
        <v>59</v>
      </c>
      <c r="F17" s="129" t="s">
        <v>57</v>
      </c>
      <c r="G17" s="129" t="s">
        <v>58</v>
      </c>
      <c r="H17" s="131" t="s">
        <v>59</v>
      </c>
      <c r="I17" s="132" t="s">
        <v>57</v>
      </c>
      <c r="J17" s="132" t="s">
        <v>58</v>
      </c>
      <c r="K17" s="132" t="s">
        <v>59</v>
      </c>
      <c r="L17" s="133" t="s">
        <v>60</v>
      </c>
      <c r="M17" s="133" t="s">
        <v>61</v>
      </c>
      <c r="N17" s="13"/>
      <c r="O17" s="13"/>
      <c r="P17" s="13"/>
      <c r="AA17" s="4"/>
      <c r="AB17" s="4"/>
    </row>
    <row r="18" spans="1:28" x14ac:dyDescent="0.25">
      <c r="A18" s="134" t="s">
        <v>62</v>
      </c>
      <c r="B18" s="135" t="s">
        <v>82</v>
      </c>
      <c r="C18" s="136">
        <f>(('Características dos Cabos'!$G$14*COS((D13/180)*3.1416)+'Características dos Cabos'!$I$14*SIN((D13/180)*3.1416))/$D$9^2)*100</f>
        <v>0.89922196699385548</v>
      </c>
      <c r="D18" s="137">
        <f>((('Características dos Cabos'!$G$14+0.5*'Características dos Cabos'!$G$14)*COS((D13/180)*3.1416)+('Características dos Cabos'!$H$14+0.5*'Características dos Cabos'!$H$14)*SIN((D13/180)*3.1416))/$D$9^2)*150</f>
        <v>2.0318619983667552</v>
      </c>
      <c r="E18" s="136">
        <f>((('Características dos Cabos'!$G$14+'Características dos Cabos'!$G$14)*COS((D13/180)*3.1416)+('Características dos Cabos'!$J$14+'Características dos Cabos'!$J$14)*SIN((D13/180)*3.1416))/$D$9^2)*300</f>
        <v>5.3485337370600545</v>
      </c>
      <c r="F18" s="136">
        <f>(('Características dos Cabos'!$F$25*COS((D13/180)*3.1416)+'Características dos Cabos'!$H$25*SIN((D13/180)*3.1416))/$D$9^2)*100</f>
        <v>0.87848624879441828</v>
      </c>
      <c r="G18" s="136">
        <f>((('Características dos Cabos'!$F$25+0.5*'Características dos Cabos'!$F$25)*COS((D13/180)*3.1416)+('Características dos Cabos'!$G$25+0.5*'Características dos Cabos'!$G$25)*SIN((D13/180)*3.1416))/$D$9^2)*150</f>
        <v>1.9852066324180209</v>
      </c>
      <c r="H18" s="136">
        <f>((('Características dos Cabos'!$F$25+'Características dos Cabos'!$F$25)*COS((D13/180)*3.1416)+('Características dos Cabos'!$I$25+'Características dos Cabos'!$I$25)*SIN((D13/180)*3.1416))/$D$9^2)*300</f>
        <v>5.2241194278634309</v>
      </c>
      <c r="I18" s="138">
        <f>(('Características dos Cabos'!$F$25*COS((J13/180)*PI())+'Características dos Cabos'!$J$25*SIN((J13/180)*PI()))/$J$9^2)*100</f>
        <v>3.3553712819282206E-3</v>
      </c>
      <c r="J18" s="138">
        <f>((('Características dos Cabos'!$F$25+0.5*'Características dos Cabos'!$F$25)*COS((J13/180)*3.1416)+('Características dos Cabos'!$J$25+0.5*'Características dos Cabos'!$J$25)*SIN((J13/180)*3.1416))/$J$9^2)*150</f>
        <v>7.5495840682519837E-3</v>
      </c>
      <c r="K18" s="138">
        <f>((('Características dos Cabos'!$F$25+'Características dos Cabos'!$F$25)*COS((J13/180)*3.1416)+('Características dos Cabos'!$K$25+'Características dos Cabos'!$K$25)*SIN((J13/180)*3.1416))/$J$9^2)*300</f>
        <v>2.004768642030395E-2</v>
      </c>
      <c r="L18" s="139">
        <f>((((('Características dos Cabos'!$F$25)/2+'Características dos Cabos'!$F$25)*COS(($M$13/180)*3.1416))+((('Características dos Cabos'!$J$25)/2+'Características dos Cabos'!$J$25)*SIN(($M$13/180)*3.1416)))/(($M$9/2)^2))*100</f>
        <v>2.013222418200529E-2</v>
      </c>
      <c r="M18" s="139">
        <f>((((('Características dos Cabos'!$F$25)+'Características dos Cabos'!$F$25)*COS(($M$13/180)*3.1416))+((('Características dos Cabos'!$K$25)+'Características dos Cabos'!$K$25)*SIN(($M$13/180)*3.1416)))/(($M$9/2)^2))*100</f>
        <v>2.6730248560405265E-2</v>
      </c>
      <c r="N18" s="13"/>
      <c r="O18" s="13"/>
      <c r="P18" s="13"/>
      <c r="AA18" s="4"/>
      <c r="AB18" s="4"/>
    </row>
    <row r="19" spans="1:28" x14ac:dyDescent="0.25">
      <c r="A19" s="140" t="s">
        <v>64</v>
      </c>
      <c r="B19" s="141" t="s">
        <v>83</v>
      </c>
      <c r="C19" s="142">
        <f>(('Características dos Cabos'!$G$15*COS((D13/180)*3.1416)+'Características dos Cabos'!$I$15*SIN((D13/180)*3.1416))/$D$9^2)*100</f>
        <v>0.60641568378442401</v>
      </c>
      <c r="D19" s="143">
        <f>((('Características dos Cabos'!$G$15+0.5*'Características dos Cabos'!$G$14)*COS((D13/180)*3.1416)+('Características dos Cabos'!$H$15+0.5*'Características dos Cabos'!$H$14)*SIN((D13/180)*3.1416))/$D$9^2)*150</f>
        <v>1.5926525735526074</v>
      </c>
      <c r="E19" s="142">
        <f>((('Características dos Cabos'!$G$15+'Características dos Cabos'!$G$14)*COS((D13/180)*3.1416)+('Características dos Cabos'!$J$15+'Características dos Cabos'!$J$14)*SIN((D13/180)*3.1416))/$D$9^2)*300</f>
        <v>4.4701148874317598</v>
      </c>
      <c r="F19" s="142">
        <f>(('Características dos Cabos'!$F$26*COS((D13/180)*3.1416)+'Características dos Cabos'!$H$26*SIN((D13/180)*3.1416))/$D$9^2)*100</f>
        <v>0.58626520115963687</v>
      </c>
      <c r="G19" s="142">
        <f>((('Características dos Cabos'!$F$26+0.5*'Características dos Cabos'!$F$25)*COS((D13/180)*3.1416)+('Características dos Cabos'!$G$26+0.5*'Características dos Cabos'!$G$25)*SIN((D13/180)*3.1416))/$D$9^2)*150</f>
        <v>1.5437881173706589</v>
      </c>
      <c r="H19" s="142">
        <f>((('Características dos Cabos'!$F$26+'Características dos Cabos'!$F$25)*COS((D13/180)*3.1416)+('Características dos Cabos'!$I$26+'Características dos Cabos'!$I$25)*SIN((D13/180)*3.1416))/$D$9^2)*300</f>
        <v>4.3474562849590868</v>
      </c>
      <c r="I19" s="144">
        <f>(('Características dos Cabos'!$F$26*COS((J13/180)*3.1416)+'Características dos Cabos'!$J$26*SIN((J13/180)*3.1416))/$J$9^2)*100</f>
        <v>2.2055654013073329E-3</v>
      </c>
      <c r="J19" s="144">
        <f>((('Características dos Cabos'!$F$26+0.5*'Características dos Cabos'!$F$25)*COS((J13/180)*3.1416)+('Características dos Cabos'!$J$26+0.5*'Características dos Cabos'!$J$25)*SIN((J13/180)*3.1416))/$J$9^2)*150</f>
        <v>5.8248761247116617E-3</v>
      </c>
      <c r="K19" s="144">
        <f>((('Características dos Cabos'!$F$26+'Características dos Cabos'!$F$25)*COS((J13/180)*3.1416)+('Características dos Cabos'!$K$26+'Características dos Cabos'!$K$25)*SIN((J13/180)*3.1416))/$J$9^2)*300</f>
        <v>1.6598270533223301E-2</v>
      </c>
      <c r="L19" s="139">
        <f>((((('Características dos Cabos'!$F$26)/2+'Características dos Cabos'!$F$25)*COS(($M$13/180)*3.1416))+((('Características dos Cabos'!$J$26)/2+'Características dos Cabos'!$J$25)*SIN(($M$13/180)*3.1416)))/(($M$9/2)^2))*100</f>
        <v>1.7832613590618194E-2</v>
      </c>
      <c r="M19" s="139">
        <f>((((('Características dos Cabos'!$F$26)+'Características dos Cabos'!$F$25)*COS(($M$13/180)*3.1416))+((('Características dos Cabos'!$K$26)+'Características dos Cabos'!$K$25)*SIN(($M$13/180)*3.1416)))/(($M$9/2)^2))*100</f>
        <v>2.213102737763107E-2</v>
      </c>
      <c r="N19" s="13"/>
      <c r="O19" s="13"/>
      <c r="P19" s="13"/>
      <c r="AA19" s="4"/>
      <c r="AB19" s="4"/>
    </row>
    <row r="20" spans="1:28" x14ac:dyDescent="0.25">
      <c r="A20" s="140" t="s">
        <v>63</v>
      </c>
      <c r="B20" s="141" t="s">
        <v>84</v>
      </c>
      <c r="C20" s="142">
        <f>(('Características dos Cabos'!$G$15*COS((D13/180)*3.1416)+'Características dos Cabos'!$I$15*SIN((D13/180)*3.1416))/$D$9^2)*100</f>
        <v>0.60641568378442401</v>
      </c>
      <c r="D20" s="143">
        <f>((('Características dos Cabos'!$G$15+0.5*'Características dos Cabos'!$G$15)*COS((D13/180)*3.1416)+('Características dos Cabos'!$H$15+0.5*'Características dos Cabos'!$H$15)*SIN((D13/180)*3.1416))/$D$9^2)*150</f>
        <v>1.3730478611455337</v>
      </c>
      <c r="E20" s="142">
        <f>((('Características dos Cabos'!$G$15+'Características dos Cabos'!$G$15)*COS((D13/180)*3.1416)+('Características dos Cabos'!$J$15+'Características dos Cabos'!$J$15)*SIN((D13/180)*3.1416))/$D$9^2)*300</f>
        <v>3.591696037803465</v>
      </c>
      <c r="F20" s="142">
        <f>(('Características dos Cabos'!$F$26*COS((D13/180)*3.1416)+'Características dos Cabos'!$H$26*SIN((D13/180)*3.1416))/$D$9^2)*100</f>
        <v>0.58626520115963687</v>
      </c>
      <c r="G20" s="142">
        <f>((('Características dos Cabos'!$F$26+0.5*'Características dos Cabos'!$F$26)*COS((D13/180)*3.1416)+('Características dos Cabos'!$G$26+0.5*'Características dos Cabos'!$G$26)*SIN((D13/180)*3.1416))/$D$9^2)*150</f>
        <v>1.323078859846978</v>
      </c>
      <c r="H20" s="142">
        <f>((('Características dos Cabos'!$F$26+'Características dos Cabos'!$F$26)*COS((D13/180)*3.1416)+('Características dos Cabos'!$I$26+'Características dos Cabos'!$I$26)*SIN((D13/180)*3.1416))/$D$9^2)*300</f>
        <v>3.4707931420547427</v>
      </c>
      <c r="I20" s="144">
        <f>(('Características dos Cabos'!$F$26*COS((J13/180)*3.1416)+'Características dos Cabos'!$J$26*SIN((J13/180)*3.1416))/$J$9^2)*100</f>
        <v>2.2055654013073329E-3</v>
      </c>
      <c r="J20" s="144">
        <f>((('Características dos Cabos'!$F$26+0.5*'Características dos Cabos'!$F$26)*COS((J13/180)*3.1416)+('Características dos Cabos'!$J$26+0.5*'Características dos Cabos'!$J$26)*SIN((J13/180)*3.1416))/$J$9^2)*150</f>
        <v>4.9625221529414993E-3</v>
      </c>
      <c r="K20" s="144">
        <f>((('Características dos Cabos'!$F$26+'Características dos Cabos'!$F$26)*COS((J13/180)*3.1416)+('Características dos Cabos'!$K$26+'Características dos Cabos'!$K$26)*SIN((J13/180)*3.1416))/$J$9^2)*300</f>
        <v>1.3148854646142653E-2</v>
      </c>
      <c r="L20" s="139">
        <f>((((('Características dos Cabos'!$F$26)/2+'Características dos Cabos'!$F$26)*COS(($M$13/180)*3.1416))+((('Características dos Cabos'!$J$26)/2+'Características dos Cabos'!$J$26)*SIN(($M$13/180)*3.1416)))/(($M$9/2)^2))*100</f>
        <v>1.3233392407843998E-2</v>
      </c>
      <c r="M20" s="139">
        <f>((((('Características dos Cabos'!$F$26)+'Características dos Cabos'!$F$26)*COS(($M$13/180)*3.1416))+((('Características dos Cabos'!$K$26)+'Características dos Cabos'!$K$26)*SIN(($M$13/180)*3.1416)))/(($M$9/2)^2))*100</f>
        <v>1.7531806194856871E-2</v>
      </c>
      <c r="N20" s="13"/>
      <c r="O20" s="13"/>
      <c r="P20" s="13"/>
      <c r="AA20" s="4"/>
      <c r="AB20" s="4"/>
    </row>
    <row r="21" spans="1:28" x14ac:dyDescent="0.25">
      <c r="A21" s="140" t="s">
        <v>65</v>
      </c>
      <c r="B21" s="141" t="s">
        <v>85</v>
      </c>
      <c r="C21" s="142">
        <f>(('Características dos Cabos'!$G$16*COS((D13/180)*3.1416)+'Características dos Cabos'!$I$16*SIN((D13/180)*3.1416))/$D$9^2)*100</f>
        <v>0.42075617135741517</v>
      </c>
      <c r="D21" s="143">
        <f>((('Características dos Cabos'!$G$16+0.5*'Características dos Cabos'!$G$14)*COS((D13/180)*3.1416)+('Características dos Cabos'!$H$16+0.5*'Características dos Cabos'!$H$14)*SIN((D13/180)*3.1416))/$D$9^2)*150</f>
        <v>1.3143485215278057</v>
      </c>
      <c r="E21" s="142">
        <f>((('Características dos Cabos'!$G$16+'Características dos Cabos'!$G$14)*COS((D13/180)*3.1416)+('Características dos Cabos'!$J$16+'Características dos Cabos'!$J$14)*SIN((D13/180)*3.1416))/$D$9^2)*300</f>
        <v>3.8826373474302569</v>
      </c>
      <c r="F21" s="142">
        <f>(('Características dos Cabos'!$F$27*COS((D13/180)*3.1416)+'Características dos Cabos'!$H$27*SIN((D13/180)*3.1416))/$D$9^2)*100</f>
        <v>0.40053816310051438</v>
      </c>
      <c r="G21" s="142">
        <f>((('Características dos Cabos'!$F$27+0.5*'Características dos Cabos'!$F$25)*COS((D13/180)*3.1416)+('Características dos Cabos'!$G$27+0.5*'Características dos Cabos'!$G$25)*SIN((D13/180)*3.1416))/$D$9^2)*150</f>
        <v>1.2683153733131169</v>
      </c>
      <c r="H21" s="142">
        <f>((('Características dos Cabos'!$F$27+'Características dos Cabos'!$F$25)*COS((D13/180)*3.1416)+('Características dos Cabos'!$I$27+'Características dos Cabos'!$I$25)*SIN((D13/180)*3.1416))/$D$9^2)*300</f>
        <v>3.7902751707817193</v>
      </c>
      <c r="I21" s="144">
        <f>(('Características dos Cabos'!$F$27*COS((J13/180)*3.1416)+'Características dos Cabos'!$J$27*SIN((J13/180)*3.1416))/$J$9^2)*100</f>
        <v>1.4748642041091749E-3</v>
      </c>
      <c r="J21" s="144">
        <f>((('Características dos Cabos'!$F$27+0.5*'Características dos Cabos'!$F$25)*COS((J13/180)*3.1416)+('Características dos Cabos'!$J$27+0.5*'Características dos Cabos'!$J$25)*SIN((J13/180)*3.1416))/$J$9^2)*150</f>
        <v>4.728824328914423E-3</v>
      </c>
      <c r="K21" s="144">
        <f>((('Características dos Cabos'!$F$27+'Características dos Cabos'!$F$25)*COS((J13/180)*3.1416)+('Características dos Cabos'!$K$27+'Características dos Cabos'!$K$25)*SIN((J13/180)*3.1416))/$J$9^2)*300</f>
        <v>1.4405924017026237E-2</v>
      </c>
      <c r="L21" s="139">
        <f>((((('Características dos Cabos'!$F$27)/2+'Características dos Cabos'!$F$25)*COS(($M$13/180)*3.1416))+((('Características dos Cabos'!$J$27)/2+'Características dos Cabos'!$J$25)*SIN(($M$13/180)*3.1416)))/(($M$9/2)^2))*100</f>
        <v>1.6371211196221876E-2</v>
      </c>
      <c r="M21" s="139">
        <f>((((('Características dos Cabos'!$F$27)+'Características dos Cabos'!$F$25)*COS(($M$13/180)*3.1416))+((('Características dos Cabos'!$K$27)+'Características dos Cabos'!$K$25)*SIN(($M$13/180)*3.1416)))/(($M$9/2)^2))*100</f>
        <v>1.9207898689368317E-2</v>
      </c>
      <c r="N21" s="13"/>
      <c r="O21" s="13"/>
      <c r="P21" s="13"/>
      <c r="AA21" s="4"/>
      <c r="AB21" s="4"/>
    </row>
    <row r="22" spans="1:28" x14ac:dyDescent="0.25">
      <c r="A22" s="140" t="s">
        <v>66</v>
      </c>
      <c r="B22" s="141" t="s">
        <v>86</v>
      </c>
      <c r="C22" s="142">
        <f>(('Características dos Cabos'!$G$16*COS((D13/180)*3.1416)+'Características dos Cabos'!$I$16*SIN((D13/180)*3.1416))/$D$9^2)*100</f>
        <v>0.42075617135741517</v>
      </c>
      <c r="D22" s="143">
        <f>((('Características dos Cabos'!$G$16+0.5*'Características dos Cabos'!$G$15)*COS((D13/180)*3.1416)+('Características dos Cabos'!$H$16+0.5*'Características dos Cabos'!$H$15)*SIN((D13/180)*3.1416))/$D$9^2)*150</f>
        <v>1.0947438091207318</v>
      </c>
      <c r="E22" s="142">
        <f>((('Características dos Cabos'!$G$16+'Características dos Cabos'!$G$15)*COS((D13/180)*3.1416)+('Características dos Cabos'!$J$16+'Características dos Cabos'!$J$15)*SIN((D13/180)*3.1416))/$D$9^2)*300</f>
        <v>3.0042184978019626</v>
      </c>
      <c r="F22" s="142">
        <f>(('Características dos Cabos'!$F$27*COS((D13/180)*3.1416)+'Características dos Cabos'!$H$27*SIN((D13/180)*3.1416))/$D$9^2)*100</f>
        <v>0.40053816310051438</v>
      </c>
      <c r="G22" s="142">
        <f>((('Características dos Cabos'!$F$27+0.5*'Características dos Cabos'!$F$26)*COS((D13/180)*3.1416)+('Características dos Cabos'!$G$27+0.5*'Características dos Cabos'!$G$26)*SIN((D13/180)*3.1416))/$D$9^2)*150</f>
        <v>1.0476061157894361</v>
      </c>
      <c r="H22" s="142">
        <f>((('Características dos Cabos'!$F$27+'Características dos Cabos'!$F$26)*COS((D13/180)*3.1416)+('Características dos Cabos'!$I$27+'Características dos Cabos'!$I$26)*SIN((D13/180)*3.1416))/$D$9^2)*300</f>
        <v>2.9136120278773747</v>
      </c>
      <c r="I22" s="144">
        <f>(('Características dos Cabos'!$F$27*COS((J13/180)*3.1416)+'Características dos Cabos'!$J$27*SIN((J13/180)*3.1416))/$J$9^2)*100</f>
        <v>1.4748642041091749E-3</v>
      </c>
      <c r="J22" s="144">
        <f>((('Características dos Cabos'!$F$27+0.5*'Características dos Cabos'!$F$26)*COS((J13/180)*3.1416)+('Características dos Cabos'!$J$27+0.5*'Características dos Cabos'!$J$26)*SIN((J13/180)*3.1416))/$J$9^2)*150</f>
        <v>3.866470357144262E-3</v>
      </c>
      <c r="K22" s="144">
        <f>((('Características dos Cabos'!$F$27+'Características dos Cabos'!$F$26)*COS((J13/180)*3.1416)+('Características dos Cabos'!$K$27+'Características dos Cabos'!$K$26)*SIN((J13/180)*3.1416))/$J$9^2)*300</f>
        <v>1.0956508129945589E-2</v>
      </c>
      <c r="L22" s="139">
        <f>((((('Características dos Cabos'!$F$27)/2+'Características dos Cabos'!$F$26)*COS(($M$13/180)*3.1416))+((('Características dos Cabos'!$J$27)/2+'Características dos Cabos'!$J$26)*SIN(($M$13/180)*3.1416)))/(($M$9/2)^2))*100</f>
        <v>1.1771990013447682E-2</v>
      </c>
      <c r="M22" s="139">
        <f>((((('Características dos Cabos'!$F$27)+'Características dos Cabos'!$F$26)*COS(($M$13/180)*3.1416))+((('Características dos Cabos'!$K$27)+'Características dos Cabos'!$K$26)*SIN(($M$13/180)*3.1416)))/(($M$9/2)^2))*100</f>
        <v>1.460867750659412E-2</v>
      </c>
      <c r="N22" s="13"/>
      <c r="O22" s="13"/>
      <c r="P22" s="13"/>
      <c r="AA22" s="4"/>
      <c r="AB22" s="4"/>
    </row>
    <row r="23" spans="1:28" ht="12.75" customHeight="1" x14ac:dyDescent="0.25">
      <c r="A23" s="140" t="s">
        <v>67</v>
      </c>
      <c r="B23" s="141" t="s">
        <v>87</v>
      </c>
      <c r="C23" s="142">
        <f>(('Características dos Cabos'!$G$17*COS((D13/180)*3.1416)+'Características dos Cabos'!$I$17*SIN((D13/180)*3.1416))/$D$9^2)*100</f>
        <v>0.25481524421201895</v>
      </c>
      <c r="D23" s="143">
        <f>((('Características dos Cabos'!$G$17+0.5*'Características dos Cabos'!$G$14)*COS((D13/180)*3.1416)+('Características dos Cabos'!$H$17+0.5*'Características dos Cabos'!$H$14)*SIN((D13/180)*3.1416))/$D$9^2)*150</f>
        <v>1.0652519141939998</v>
      </c>
      <c r="E23" s="142">
        <f>((('Características dos Cabos'!$G$17+'Características dos Cabos'!$G$14)*COS((D13/180)*3.1416)+('Características dos Cabos'!$J$17+'Características dos Cabos'!$J$14)*SIN((D13/180)*3.1416))/$D$9^2)*300</f>
        <v>3.4153135687145451</v>
      </c>
      <c r="F23" s="142">
        <f>(('Características dos Cabos'!$F$28*COS((D13/180)*3.1416)+'Características dos Cabos'!$H$28*SIN((D13/180)*3.1416))/$D$9^2)*100</f>
        <v>0.24003267860486427</v>
      </c>
      <c r="G23" s="142">
        <f>((('Características dos Cabos'!$F$28+0.5*'Características dos Cabos'!$F$25)*COS((D13/180)*3.1416)+('Características dos Cabos'!$G$28+0.5*'Características dos Cabos'!$G$25)*SIN((D13/180)*3.1416))/$D$9^2)*150</f>
        <v>1.0275571465696418</v>
      </c>
      <c r="H23" s="142">
        <f>((('Características dos Cabos'!$F$28+'Características dos Cabos'!$F$25)*COS((D13/180)*3.1416)+('Características dos Cabos'!$I$28+'Características dos Cabos'!$I$25)*SIN((D13/180)*3.1416))/$D$9^2)*300</f>
        <v>3.3088204561666728</v>
      </c>
      <c r="I23" s="144">
        <f>(('Características dos Cabos'!$F$28*COS((J13/180)*3.1416)+'Características dos Cabos'!$J$28*SIN((J13/180)*3.1416))/$J$9^2)*100</f>
        <v>8.4332154982505079E-4</v>
      </c>
      <c r="J23" s="144">
        <f>((('Características dos Cabos'!$F$28+0.5*'Características dos Cabos'!$F$25)*COS((J13/180)*3.1416)+('Características dos Cabos'!$J$28+0.5*'Características dos Cabos'!$J$25)*SIN((J13/180)*3.1416))/$J$9^2)*150</f>
        <v>3.7815103474882379E-3</v>
      </c>
      <c r="K23" s="144">
        <f>((('Características dos Cabos'!$F$28+'Características dos Cabos'!$F$25)*COS((J13/180)*3.1416)+('Características dos Cabos'!$K$28+'Características dos Cabos'!$K$25)*SIN((J13/180)*3.1416))/$J$9^2)*300</f>
        <v>1.2511296054173863E-2</v>
      </c>
      <c r="L23" s="139">
        <f>((((('Características dos Cabos'!$F$28)/2+'Características dos Cabos'!$F$25)*COS(($M$13/180)*3.1416))+((('Características dos Cabos'!$J$28)/2+'Características dos Cabos'!$J$25)*SIN(($M$13/180)*3.1416)))/(($M$9/2)^2))*100</f>
        <v>1.5108125887653628E-2</v>
      </c>
      <c r="M23" s="139">
        <f>((((('Características dos Cabos'!$F$28)+'Características dos Cabos'!$F$25)*COS(($M$13/180)*3.1416))+((('Características dos Cabos'!$K$28)+'Características dos Cabos'!$K$25)*SIN(($M$13/180)*3.1416)))/(($M$9/2)^2))*100</f>
        <v>1.6681728072231818E-2</v>
      </c>
      <c r="N23" s="13"/>
      <c r="O23" s="13"/>
      <c r="P23" s="13"/>
      <c r="AA23" s="4"/>
      <c r="AB23" s="4"/>
    </row>
    <row r="24" spans="1:28" ht="13.5" customHeight="1" x14ac:dyDescent="0.25">
      <c r="A24" s="140" t="s">
        <v>68</v>
      </c>
      <c r="B24" s="141" t="s">
        <v>88</v>
      </c>
      <c r="C24" s="142">
        <f>(('Características dos Cabos'!$G$17*COS((D13/180)*3.1416)+'Características dos Cabos'!$I$17*SIN((D13/180)*3.1416))/$D$9^2)*100</f>
        <v>0.25481524421201895</v>
      </c>
      <c r="D24" s="143">
        <f>((('Características dos Cabos'!$G$17+0.5*'Características dos Cabos'!$G$15)*COS((D13/180)*3.1416)+('Características dos Cabos'!$H$17+0.5*'Características dos Cabos'!$H$15)*SIN((D13/180)*3.1416))/$D$9^2)*150</f>
        <v>0.84564720178692609</v>
      </c>
      <c r="E24" s="142">
        <f>((('Características dos Cabos'!$G$17+'Características dos Cabos'!$G$15)*COS((D13/180)*3.1416)+('Características dos Cabos'!$J$17+'Características dos Cabos'!$J$15)*SIN((D13/180)*3.1416))/$D$9^2)*300</f>
        <v>2.5368947190862499</v>
      </c>
      <c r="F24" s="142">
        <f>(('Características dos Cabos'!$F$28*COS((D13/180)*3.1416)+'Características dos Cabos'!$H$28*SIN((D13/180)*3.1416))/$D$9^2)*100</f>
        <v>0.24003267860486427</v>
      </c>
      <c r="G24" s="142">
        <f>((('Características dos Cabos'!$F$28+0.5*'Características dos Cabos'!$F$26)*COS((D13/180)*3.1416)+('Características dos Cabos'!$G$28+0.5*'Características dos Cabos'!$G$26)*SIN((D13/180)*3.1416))/$D$9^2)*150</f>
        <v>0.80684788904596083</v>
      </c>
      <c r="H24" s="142">
        <f>((('Características dos Cabos'!$F$28+'Características dos Cabos'!$F$26)*COS((D13/180)*3.1416)+('Características dos Cabos'!$I$28+'Características dos Cabos'!$I$26)*SIN((D13/180)*3.1416))/$D$9^2)*300</f>
        <v>2.4321573132623286</v>
      </c>
      <c r="I24" s="144">
        <f>(('Características dos Cabos'!$F$28*COS((J13/180)*3.1416)+'Características dos Cabos'!$J$28*SIN((J13/180)*3.1416))/$J$9^2)*100</f>
        <v>8.4332154982505079E-4</v>
      </c>
      <c r="J24" s="144">
        <f>((('Características dos Cabos'!$F$28+0.5*'Características dos Cabos'!$F$26)*COS((J13/180)*3.1416)+('Características dos Cabos'!$J$28+0.5*'Características dos Cabos'!$J$26)*SIN((J13/180)*3.1416))/$J$9^2)*150</f>
        <v>2.9191563757180756E-3</v>
      </c>
      <c r="K24" s="144">
        <f>((('Características dos Cabos'!$F$28+'Características dos Cabos'!$F$26)*COS((J13/180)*3.1416)+('Características dos Cabos'!$K$28+'Características dos Cabos'!$K$26)*SIN((J13/180)*3.1416))/$J$9^2)*300</f>
        <v>9.0618801670932191E-3</v>
      </c>
      <c r="L24" s="139">
        <f>((((('Características dos Cabos'!$F$28)/2+'Características dos Cabos'!$F$26)*COS(($M$13/180)*3.1416))+((('Características dos Cabos'!$J$28)/2+'Características dos Cabos'!$J$26)*SIN(($M$13/180)*3.1416)))/(($M$9/2)^2))*100</f>
        <v>1.0508904704879432E-2</v>
      </c>
      <c r="M24" s="139">
        <f>((((('Características dos Cabos'!$F$28)+'Características dos Cabos'!$F$26)*COS(($M$13/180)*3.1416))+((('Características dos Cabos'!$K$28)+'Características dos Cabos'!$K$26)*SIN(($M$13/180)*3.1416)))/(($M$9/2)^2))*100</f>
        <v>1.2082506889457625E-2</v>
      </c>
      <c r="N24" s="13"/>
      <c r="O24" s="13"/>
      <c r="P24" s="13"/>
      <c r="AA24" s="4"/>
      <c r="AB24" s="4"/>
    </row>
    <row r="25" spans="1:28" x14ac:dyDescent="0.25">
      <c r="A25" s="140" t="s">
        <v>69</v>
      </c>
      <c r="B25" s="141" t="s">
        <v>90</v>
      </c>
      <c r="C25" s="142">
        <f>(('Características dos Cabos'!$G$17*COS((D13/180)*3.1416)+'Características dos Cabos'!$I$17*SIN((D13/180)*3.1416))/$D$9^2)*100</f>
        <v>0.25481524421201895</v>
      </c>
      <c r="D25" s="143">
        <f>((('Características dos Cabos'!$G$17+0.5*'Características dos Cabos'!$G$16)*COS((D13/180)*3.1416)+('Características dos Cabos'!$H$17+0.5*'Características dos Cabos'!$H$16)*SIN((D13/180)*3.1416))/$D$9^2)*150</f>
        <v>0.70649517577452536</v>
      </c>
      <c r="E25" s="142">
        <f>((('Características dos Cabos'!$G$17+'Características dos Cabos'!$G$16)*COS((D13/180)*3.1416)+('Características dos Cabos'!$J$17+'Características dos Cabos'!$J$16)*SIN((D13/180)*3.1416))/$D$9^2)*300</f>
        <v>1.9494171790847474</v>
      </c>
      <c r="F25" s="142">
        <f>(('Características dos Cabos'!$F$28*COS((D13/180)*3.1416)+'Características dos Cabos'!$H$28*SIN((D13/180)*3.1416))/$D$9^2)*100</f>
        <v>0.24003267860486427</v>
      </c>
      <c r="G25" s="142">
        <f>((('Características dos Cabos'!$F$28+0.5*'Características dos Cabos'!$F$27)*COS((D13/180)*3.1416)+('Características dos Cabos'!$G$28+0.5*'Características dos Cabos'!$G$27)*SIN((D13/180)*3.1416))/$D$9^2)*150</f>
        <v>0.66911151701718974</v>
      </c>
      <c r="H25" s="142">
        <f>((('Características dos Cabos'!$F$28+'Características dos Cabos'!$F$27)*COS((D13/180)*3.1416)+('Características dos Cabos'!$I$28+'Características dos Cabos'!$I$27)*SIN((D13/180)*3.1416))/$D$9^2)*300</f>
        <v>1.8749761990849609</v>
      </c>
      <c r="I25" s="144">
        <f>(('Características dos Cabos'!$F$28*COS((J13/180)*3.1416)+'Características dos Cabos'!$J$28*SIN((J13/180)*3.1416))/$J$9^2)*100</f>
        <v>8.4332154982505079E-4</v>
      </c>
      <c r="J25" s="144">
        <f>((('Características dos Cabos'!$F$28+0.5*'Características dos Cabos'!$F$27)*COS((J13/180)*3.1416)+('Características dos Cabos'!$J$28+0.5*'Características dos Cabos'!$J$27)*SIN((J13/180)*3.1416))/$J$9^2)*150</f>
        <v>2.3711304778194576E-3</v>
      </c>
      <c r="K25" s="144">
        <f>((('Características dos Cabos'!$F$28+'Características dos Cabos'!$F$27)*COS((J13/180)*3.1416)+('Características dos Cabos'!$K$28+'Características dos Cabos'!$K$27)*SIN((J13/180)*3.1416))/$J$9^2)*300</f>
        <v>6.8695336508961535E-3</v>
      </c>
      <c r="L25" s="139">
        <f>((((('Características dos Cabos'!$F$28)/2+'Características dos Cabos'!$F$27)*COS(($M$13/180)*3.1416))+((('Características dos Cabos'!$J$28)/2+'Características dos Cabos'!$J$27)*SIN(($M$13/180)*3.1416)))/(($M$9/2)^2))*100</f>
        <v>7.5860999160868026E-3</v>
      </c>
      <c r="M25" s="139">
        <f>((((('Características dos Cabos'!$F$28)+'Características dos Cabos'!$F$27)*COS(($M$13/180)*3.1416))+((('Características dos Cabos'!$K$28)+'Características dos Cabos'!$K$27)*SIN(($M$13/180)*3.1416)))/(($M$9/2)^2))*100</f>
        <v>9.1593782011948708E-3</v>
      </c>
      <c r="N25" s="13"/>
      <c r="O25" s="13"/>
      <c r="P25" s="13"/>
      <c r="AA25" s="4"/>
      <c r="AB25" s="4"/>
    </row>
    <row r="26" spans="1:28" x14ac:dyDescent="0.25">
      <c r="A26" s="140" t="s">
        <v>70</v>
      </c>
      <c r="B26" s="141" t="s">
        <v>91</v>
      </c>
      <c r="C26" s="142">
        <f>(('Características dos Cabos'!$G$18*COS((D13/180)*3.1416)+'Características dos Cabos'!$I$18*SIN((D13/180)*3.1416))/$D$9^2)*100</f>
        <v>0.17869318996270606</v>
      </c>
      <c r="D26" s="143">
        <f>((('Características dos Cabos'!$G$18+0.5*'Características dos Cabos'!$G$14)*COS((D13/180)*3.1416)+('Características dos Cabos'!$H$18+0.5*'Características dos Cabos'!$H$14)*SIN((D13/180)*3.1416))/$D$9^2)*150</f>
        <v>0.95109970225598239</v>
      </c>
      <c r="E26" s="142">
        <f>((('Características dos Cabos'!$G$18+'Características dos Cabos'!$G$14)*COS((D13/180)*3.1416)+('Características dos Cabos'!$J$18+'Características dos Cabos'!$J$14)*SIN((D13/180)*3.1416))/$D$9^2)*300</f>
        <v>3.1870091448385098</v>
      </c>
      <c r="F26" s="142">
        <f>(('Características dos Cabos'!$F$29*COS((D13/180)*3.1416)+'Características dos Cabos'!$H$29*SIN((D13/180)*3.1416))/$D$9^2)*100</f>
        <v>0.17956941210876357</v>
      </c>
      <c r="G26" s="142">
        <f>((('Características dos Cabos'!$F$29+0.5*'Características dos Cabos'!$F$25)*COS((D13/180)*3.1416)+('Características dos Cabos'!$G$29+0.5*'Características dos Cabos'!$G$25)*SIN((D13/180)*3.1416))/$D$9^2)*150</f>
        <v>0.93683137738953903</v>
      </c>
      <c r="H26" s="142">
        <f>((('Características dos Cabos'!$F$29+'Características dos Cabos'!$F$25)*COS((D13/180)*3.1416)+('Características dos Cabos'!$I$29+'Características dos Cabos'!$I$25)*SIN((D13/180)*3.1416))/$D$9^2)*300</f>
        <v>3.1273689178064665</v>
      </c>
      <c r="I26" s="144">
        <f>(('Características dos Cabos'!$F$29*COS((J13/180)*3.1416)+'Características dos Cabos'!$J$29*SIN((J13/180)*3.1416))/$J$9^2)*100</f>
        <v>6.0533511066997094E-4</v>
      </c>
      <c r="J26" s="144">
        <f>((('Características dos Cabos'!$F$29+0.5*'Características dos Cabos'!$F$25)*COS((J13/180)*3.1416)+('Características dos Cabos'!$J$29+0.5*'Características dos Cabos'!$J$25)*SIN((J13/180)*3.1416))/$J$9^2)*150</f>
        <v>3.4245306887556175E-3</v>
      </c>
      <c r="K26" s="144">
        <f>((('Características dos Cabos'!$F$29+'Características dos Cabos'!$F$25)*COS((J13/180)*3.1416)+('Características dos Cabos'!$K$29+'Características dos Cabos'!$K$25)*SIN((J13/180)*3.1416))/$J$9^2)*300</f>
        <v>1.1797579661311215E-2</v>
      </c>
      <c r="L26" s="139">
        <f>((((('Características dos Cabos'!$F$29)/2+'Características dos Cabos'!$F$25)*COS(($M$13/180)*3.1416))+((('Características dos Cabos'!$J$29)/2+'Características dos Cabos'!$J$25)*SIN(($M$13/180)*3.1416)))/(($M$9/2)^2))*100</f>
        <v>1.4632153009343471E-2</v>
      </c>
      <c r="M26" s="139">
        <f>((((('Características dos Cabos'!$F$29)+'Características dos Cabos'!$F$25)*COS(($M$13/180)*3.1416))+((('Características dos Cabos'!$K$29)+'Características dos Cabos'!$K$25)*SIN(($M$13/180)*3.1416)))/(($M$9/2)^2))*100</f>
        <v>1.573010621508162E-2</v>
      </c>
      <c r="N26" s="13"/>
      <c r="O26" s="13"/>
      <c r="P26" s="13"/>
      <c r="AA26" s="4"/>
      <c r="AB26" s="4"/>
    </row>
    <row r="27" spans="1:28" x14ac:dyDescent="0.25">
      <c r="A27" s="140" t="s">
        <v>71</v>
      </c>
      <c r="B27" s="141" t="s">
        <v>92</v>
      </c>
      <c r="C27" s="142">
        <f>(('Características dos Cabos'!$G$18*COS((D13/180)*3.1416)+'Características dos Cabos'!$I$18*SIN((D13/180)*3.1416))/$D$9^2)*100</f>
        <v>0.17869318996270606</v>
      </c>
      <c r="D27" s="143">
        <f>((('Características dos Cabos'!$G$18+0.5*'Características dos Cabos'!$G$15)*COS((D13/180)*3.1416)+('Características dos Cabos'!$H$18+0.5*'Características dos Cabos'!$H$15)*SIN((D13/180)*3.1416))/$D$9^2)*150</f>
        <v>0.73149498984890871</v>
      </c>
      <c r="E27" s="142">
        <f>((('Características dos Cabos'!$G$18+'Características dos Cabos'!$G$15)*COS((D13/180)*3.1416)+('Características dos Cabos'!$J$18+'Características dos Cabos'!$J$15)*SIN((D13/180)*3.1416))/$D$9^2)*300</f>
        <v>2.3085902952102151</v>
      </c>
      <c r="F27" s="142">
        <f>(('Características dos Cabos'!$F$29*COS((D13/180)*3.1416)+'Características dos Cabos'!$H$29*SIN((D13/180)*3.1416))/$D$9^2)*100</f>
        <v>0.17956941210876357</v>
      </c>
      <c r="G27" s="142">
        <f>((('Características dos Cabos'!$F$29+0.5*'Características dos Cabos'!$F$26)*COS((D13/180)*3.1416)+('Características dos Cabos'!$G$29+0.5*'Características dos Cabos'!$G$26)*SIN((D13/180)*3.1416))/$D$9^2)*150</f>
        <v>0.71612211986585794</v>
      </c>
      <c r="H27" s="142">
        <f>((('Características dos Cabos'!$F$29+'Características dos Cabos'!$F$26)*COS((D13/180)*3.1416)+('Características dos Cabos'!$I$29+'Características dos Cabos'!$I$26)*SIN((D13/180)*3.1416))/$D$9^2)*300</f>
        <v>2.2507057749021229</v>
      </c>
      <c r="I27" s="144">
        <f>(('Características dos Cabos'!$F$29*COS((J13/180)*3.1416)+'Características dos Cabos'!$J$29*SIN((J13/180)*3.1416))/$J$9^2)*100</f>
        <v>6.0533511066997094E-4</v>
      </c>
      <c r="J27" s="144">
        <f>((('Características dos Cabos'!$F$29+0.5*'Características dos Cabos'!$F$26)*COS((J13/180)*3.1416)+('Características dos Cabos'!$J$29+0.5*'Características dos Cabos'!$J$26)*SIN((J13/180)*3.1416))/$J$9^2)*150</f>
        <v>2.562176716985456E-3</v>
      </c>
      <c r="K27" s="144">
        <f>((('Características dos Cabos'!$F$29+'Características dos Cabos'!$F$26)*COS((J13/180)*3.1416)+('Características dos Cabos'!$K$29+'Características dos Cabos'!$K$26)*SIN((J13/180)*3.1416))/$J$9^2)*300</f>
        <v>8.3481637742305673E-3</v>
      </c>
      <c r="L27" s="139">
        <f>((((('Características dos Cabos'!$F$29)/2+'Características dos Cabos'!$F$26)*COS(($M$13/180)*3.1416))+((('Características dos Cabos'!$J$29)/2+'Características dos Cabos'!$J$26)*SIN(($M$13/180)*3.1416)))/(($M$9/2)^2))*100</f>
        <v>1.0032931826569273E-2</v>
      </c>
      <c r="M27" s="139">
        <f>((((('Características dos Cabos'!$F$29)+'Características dos Cabos'!$F$26)*COS(($M$13/180)*3.1416))+((('Características dos Cabos'!$K$29)+'Características dos Cabos'!$K$26)*SIN(($M$13/180)*3.1416)))/(($M$9/2)^2))*100</f>
        <v>1.1130885032307424E-2</v>
      </c>
      <c r="N27" s="13"/>
      <c r="O27" s="13"/>
      <c r="P27" s="13"/>
      <c r="AA27" s="4"/>
      <c r="AB27" s="4"/>
    </row>
    <row r="28" spans="1:28" x14ac:dyDescent="0.25">
      <c r="A28" s="140" t="s">
        <v>72</v>
      </c>
      <c r="B28" s="141" t="s">
        <v>93</v>
      </c>
      <c r="C28" s="142">
        <f>(('Características dos Cabos'!$G$18*COS((D13/180)*3.1416)+'Características dos Cabos'!$I$18*SIN((D13/180)*3.1416))/$D$9^2)*100</f>
        <v>0.17869318996270606</v>
      </c>
      <c r="D28" s="143">
        <f>((('Características dos Cabos'!$G$18+0.5*'Características dos Cabos'!$G$16)*COS((D13/180)*3.1416)+('Características dos Cabos'!$H$18+0.5*'Características dos Cabos'!$H$16)*SIN((D13/180)*3.1416))/$D$9^2)*150</f>
        <v>0.59234296383650786</v>
      </c>
      <c r="E28" s="142">
        <f>((('Características dos Cabos'!$G$18+'Características dos Cabos'!$G$16)*COS((D13/180)*3.1416)+('Características dos Cabos'!$J$18+'Características dos Cabos'!$J$16)*SIN((D13/180)*3.1416))/$D$9^2)*300</f>
        <v>1.7211127552087127</v>
      </c>
      <c r="F28" s="142">
        <f>(('Características dos Cabos'!$F$29*COS((D13/180)*3.1416)+'Características dos Cabos'!$H$29*SIN((D13/180)*3.1416))/$D$9^2)*100</f>
        <v>0.17956941210876357</v>
      </c>
      <c r="G28" s="142">
        <f>((('Características dos Cabos'!$F$29+0.5*'Características dos Cabos'!$F$27)*COS((D13/180)*3.1416)+('Características dos Cabos'!$G$29+0.5*'Características dos Cabos'!$G$27)*SIN((D13/180)*3.1416))/$D$9^2)*150</f>
        <v>0.57838574783708685</v>
      </c>
      <c r="H28" s="142">
        <f>((('Características dos Cabos'!$F$29+'Características dos Cabos'!$F$27)*COS((D13/180)*3.1416)+('Características dos Cabos'!$I$29+'Características dos Cabos'!$I$27)*SIN((D13/180)*3.1416))/$D$9^2)*300</f>
        <v>1.6935246607247552</v>
      </c>
      <c r="I28" s="144">
        <f>(('Características dos Cabos'!$F$29*COS((J13/180)*3.1416)+'Características dos Cabos'!$J$29*SIN((J13/180)*3.1416))/$J$9^2)*100</f>
        <v>6.0533511066997094E-4</v>
      </c>
      <c r="J28" s="144">
        <f>((('Características dos Cabos'!$F$29+0.5*'Características dos Cabos'!$F$27)*COS((J13/180)*3.1416)+('Características dos Cabos'!$J$29+0.5*'Características dos Cabos'!$J$27)*SIN((J13/180)*3.1416))/$J$9^2)*150</f>
        <v>2.0141508190868376E-3</v>
      </c>
      <c r="K28" s="144">
        <f>((('Características dos Cabos'!$F$29+'Características dos Cabos'!$F$27)*COS((J13/180)*3.1416)+('Características dos Cabos'!$K$29+'Características dos Cabos'!$K$27)*SIN((J13/180)*3.1416))/$J$9^2)*300</f>
        <v>6.1558172580335035E-3</v>
      </c>
      <c r="L28" s="139">
        <f>((((('Características dos Cabos'!$F$29)/2+'Características dos Cabos'!$F$27)*COS(($M$13/180)*3.1416))+((('Características dos Cabos'!$J$29)/2+'Características dos Cabos'!$J$27)*SIN(($M$13/180)*3.1416)))/(($M$9/2)^2))*100</f>
        <v>7.110127037776642E-3</v>
      </c>
      <c r="M28" s="139">
        <f>((((('Características dos Cabos'!$F$29)+'Características dos Cabos'!$F$27)*COS(($M$13/180)*3.1416))+((('Características dos Cabos'!$K$29)+'Características dos Cabos'!$K$27)*SIN(($M$13/180)*3.1416)))/(($M$9/2)^2))*100</f>
        <v>8.2077563440446713E-3</v>
      </c>
      <c r="N28" s="13"/>
      <c r="O28" s="13"/>
      <c r="P28" s="13"/>
      <c r="AA28" s="4"/>
      <c r="AB28" s="4"/>
    </row>
    <row r="29" spans="1:28" ht="13" thickBot="1" x14ac:dyDescent="0.3">
      <c r="A29" s="145" t="s">
        <v>73</v>
      </c>
      <c r="B29" s="146" t="s">
        <v>94</v>
      </c>
      <c r="C29" s="147">
        <f>(('Características dos Cabos'!$G$18*COS((D13/180)*3.1416)+'Características dos Cabos'!$I$18*SIN((D13/180)*3.1416))/$D$9^2)*100</f>
        <v>0.17869318996270606</v>
      </c>
      <c r="D29" s="148">
        <f>((('Características dos Cabos'!$G$18+0.5*'Características dos Cabos'!$G$17)*COS((D13/180)*3.1416)+('Características dos Cabos'!$H$18+0.5*'Características dos Cabos'!$H$17)*SIN((D13/180)*3.1416))/$D$9^2)*150</f>
        <v>0.46779466016960491</v>
      </c>
      <c r="E29" s="147">
        <f>((('Características dos Cabos'!$G$18+'Características dos Cabos'!$G$17)*COS((D13/180)*3.1416)+('Características dos Cabos'!$J$18+'Características dos Cabos'!$J$17)*SIN((D13/180)*3.1416))/$D$9^2)*300</f>
        <v>1.2537889764930001</v>
      </c>
      <c r="F29" s="147">
        <f>(('Características dos Cabos'!$F$29*COS((D13/180)*3.1416)+'Características dos Cabos'!$H$29*SIN((D13/180)*3.1416))/$D$9^2)*100</f>
        <v>0.17956941210876357</v>
      </c>
      <c r="G29" s="147">
        <f>((('Características dos Cabos'!$F$29+0.5*'Características dos Cabos'!$F$28)*COS((D13/180)*3.1416)+('Características dos Cabos'!$G$29+0.5*'Características dos Cabos'!$G$28)*SIN((D13/180)*3.1416))/$D$9^2)*150</f>
        <v>0.45800663446534934</v>
      </c>
      <c r="H29" s="147">
        <f>((('Características dos Cabos'!$F$29+'Características dos Cabos'!$F$28)*COS((D13/180)*3.1416)+('Características dos Cabos'!$I$29+'Características dos Cabos'!$I$28)*SIN((D13/180)*3.1416))/$D$9^2)*300</f>
        <v>1.2120699461097086</v>
      </c>
      <c r="I29" s="149">
        <f>(('Características dos Cabos'!$F$29*COS((J13/180)*3.1416)+'Características dos Cabos'!$J$29*SIN((J13/180)*3.1416))/$J$9^2)*100</f>
        <v>6.0533511066997094E-4</v>
      </c>
      <c r="J29" s="149">
        <f>((('Características dos Cabos'!$F$29+0.5*'Características dos Cabos'!$F$28)*COS((J13/180)*3.1416)+('Características dos Cabos'!$J$29+0.5*'Características dos Cabos'!$J$28)*SIN((J13/180)*3.1416))/$J$9^2)*150</f>
        <v>1.5404938283737444E-3</v>
      </c>
      <c r="K29" s="149">
        <f>((('Características dos Cabos'!$F$29+'Características dos Cabos'!$F$28)*COS((J13/180)*3.1416)+('Características dos Cabos'!$K$29+'Características dos Cabos'!$K$28)*SIN((J13/180)*3.1416))/$J$9^2)*300</f>
        <v>4.2611892951811316E-3</v>
      </c>
      <c r="L29" s="150">
        <f>((((('Características dos Cabos'!$F$29)/2+'Características dos Cabos'!$F$28)*COS(($M$13/180)*3.1416))+((('Características dos Cabos'!$J$28)/2+'Características dos Cabos'!$J$28)*SIN(($M$13/180)*3.1416)))/(($M$9/2)^2))*100</f>
        <v>4.6189375634131139E-3</v>
      </c>
      <c r="M29" s="150">
        <f>((((('Características dos Cabos'!$F$29)+'Características dos Cabos'!$F$28)*COS(($M$13/180)*3.1416))+((('Características dos Cabos'!$K$29)+'Características dos Cabos'!$K$28)*SIN(($M$13/180)*3.1416)))/(($M$9/2)^2))*100</f>
        <v>5.6815857269081746E-3</v>
      </c>
      <c r="N29" s="13"/>
      <c r="O29" s="13"/>
      <c r="P29" s="13"/>
      <c r="AA29" s="4"/>
      <c r="AB29" s="4"/>
    </row>
    <row r="30" spans="1:28" ht="13.5" customHeight="1" x14ac:dyDescent="0.25">
      <c r="A30" s="106"/>
      <c r="B30" s="106"/>
      <c r="C30" s="106"/>
      <c r="D30" s="106"/>
      <c r="E30" s="106"/>
      <c r="F30" s="106"/>
      <c r="G30" s="106"/>
      <c r="H30" s="106"/>
      <c r="I30" s="151"/>
      <c r="J30" s="151"/>
      <c r="K30" s="106"/>
      <c r="L30" s="106"/>
      <c r="M30" s="106"/>
      <c r="N30" s="13"/>
      <c r="O30" s="13"/>
      <c r="P30" s="13"/>
    </row>
    <row r="31" spans="1:28" ht="12.75" customHeight="1" x14ac:dyDescent="0.3">
      <c r="A31" s="666"/>
      <c r="B31" s="666"/>
      <c r="C31" s="666"/>
      <c r="D31" s="14"/>
      <c r="E31" s="11"/>
      <c r="F31" s="4"/>
      <c r="G31" s="4"/>
      <c r="H31" s="4"/>
      <c r="I31" s="4"/>
      <c r="J31" s="4"/>
      <c r="K31" s="4"/>
      <c r="L31" s="4"/>
      <c r="M31" s="4"/>
    </row>
    <row r="32" spans="1:28" ht="13" x14ac:dyDescent="0.3">
      <c r="A32" s="666"/>
      <c r="B32" s="666"/>
      <c r="C32" s="666"/>
      <c r="D32" s="14"/>
      <c r="E32" s="10"/>
      <c r="F32" s="4"/>
      <c r="G32" s="4"/>
      <c r="H32" s="4"/>
      <c r="I32" s="4"/>
      <c r="J32" s="4"/>
      <c r="K32" s="4"/>
      <c r="L32" s="4"/>
      <c r="M32" s="4"/>
    </row>
    <row r="33" spans="6:6" x14ac:dyDescent="0.25">
      <c r="F33" s="3"/>
    </row>
    <row r="34" spans="6:6" x14ac:dyDescent="0.25">
      <c r="F34" s="15"/>
    </row>
    <row r="35" spans="6:6" x14ac:dyDescent="0.25">
      <c r="F35" s="1"/>
    </row>
    <row r="36" spans="6:6" x14ac:dyDescent="0.25">
      <c r="F36" s="16"/>
    </row>
    <row r="37" spans="6:6" x14ac:dyDescent="0.25">
      <c r="F37" s="16"/>
    </row>
    <row r="38" spans="6:6" x14ac:dyDescent="0.25">
      <c r="F38" s="16"/>
    </row>
    <row r="39" spans="6:6" x14ac:dyDescent="0.25">
      <c r="F39" s="16"/>
    </row>
    <row r="40" spans="6:6" x14ac:dyDescent="0.25">
      <c r="F40" s="16"/>
    </row>
    <row r="41" spans="6:6" x14ac:dyDescent="0.25">
      <c r="F41" s="16"/>
    </row>
    <row r="42" spans="6:6" x14ac:dyDescent="0.25">
      <c r="F42" s="16"/>
    </row>
    <row r="43" spans="6:6" x14ac:dyDescent="0.25">
      <c r="F43" s="16"/>
    </row>
    <row r="44" spans="6:6" x14ac:dyDescent="0.25">
      <c r="F44" s="16"/>
    </row>
    <row r="45" spans="6:6" x14ac:dyDescent="0.25">
      <c r="F45" s="16"/>
    </row>
    <row r="46" spans="6:6" x14ac:dyDescent="0.25">
      <c r="F46" s="16"/>
    </row>
    <row r="47" spans="6:6" x14ac:dyDescent="0.25">
      <c r="F47" s="16"/>
    </row>
  </sheetData>
  <customSheetViews>
    <customSheetView guid="{ADCFDDAA-AF71-42CE-8FD7-7ABB67CB940B}" scale="73" showPageBreaks="1" showGridLines="0" printArea="1" hiddenColumns="1" view="pageBreakPreview">
      <selection activeCell="C18" sqref="C18"/>
      <pageMargins left="0" right="0" top="0" bottom="0" header="0.51181102362204722" footer="0"/>
      <printOptions horizontalCentered="1" verticalCentered="1"/>
      <pageSetup paperSize="9" scale="84" orientation="landscape" horizontalDpi="4294967294" verticalDpi="300" r:id="rId1"/>
      <headerFooter alignWithMargins="0"/>
    </customSheetView>
  </customSheetViews>
  <mergeCells count="16">
    <mergeCell ref="A31:C31"/>
    <mergeCell ref="A32:C32"/>
    <mergeCell ref="A16:A17"/>
    <mergeCell ref="I8:J8"/>
    <mergeCell ref="I16:J16"/>
    <mergeCell ref="C15:E15"/>
    <mergeCell ref="F15:M15"/>
    <mergeCell ref="C14:D14"/>
    <mergeCell ref="I14:J14"/>
    <mergeCell ref="L14:M14"/>
    <mergeCell ref="A2:M2"/>
    <mergeCell ref="A3:M3"/>
    <mergeCell ref="L8:M8"/>
    <mergeCell ref="C7:H7"/>
    <mergeCell ref="I7:M7"/>
    <mergeCell ref="A5:M5"/>
  </mergeCells>
  <phoneticPr fontId="0" type="noConversion"/>
  <printOptions horizontalCentered="1"/>
  <pageMargins left="0.39370078740157483" right="0.39370078740157483" top="0.39370078740157483" bottom="0.39370078740157483" header="0.51181102362204722" footer="0"/>
  <pageSetup paperSize="9" orientation="landscape" horizontalDpi="4294967294" verticalDpi="300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AA30"/>
  <sheetViews>
    <sheetView showGridLines="0" view="pageBreakPreview" zoomScale="87" zoomScaleNormal="75" workbookViewId="0">
      <selection activeCell="F25" sqref="F25"/>
    </sheetView>
  </sheetViews>
  <sheetFormatPr defaultRowHeight="12.5" x14ac:dyDescent="0.25"/>
  <cols>
    <col min="2" max="2" width="10.7265625" customWidth="1"/>
    <col min="3" max="3" width="10.54296875" customWidth="1"/>
    <col min="4" max="4" width="9.1796875" hidden="1" customWidth="1"/>
    <col min="5" max="5" width="11" customWidth="1"/>
    <col min="6" max="7" width="11.81640625" customWidth="1"/>
    <col min="8" max="9" width="10.453125" customWidth="1"/>
    <col min="10" max="10" width="10.7265625" customWidth="1"/>
    <col min="11" max="11" width="11.81640625" customWidth="1"/>
    <col min="12" max="12" width="13.1796875" customWidth="1"/>
  </cols>
  <sheetData>
    <row r="1" spans="1:27" ht="11.25" customHeight="1" x14ac:dyDescent="0.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7" x14ac:dyDescent="0.25">
      <c r="A2" s="657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57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</row>
    <row r="3" spans="1:27" ht="20" x14ac:dyDescent="0.4">
      <c r="A3" s="658" t="s">
        <v>244</v>
      </c>
      <c r="B3" s="658"/>
      <c r="C3" s="658"/>
      <c r="D3" s="658"/>
      <c r="E3" s="658"/>
      <c r="F3" s="658"/>
      <c r="G3" s="658"/>
      <c r="H3" s="658"/>
      <c r="I3" s="658"/>
      <c r="J3" s="658"/>
      <c r="K3" s="658"/>
      <c r="L3" s="658"/>
      <c r="M3" s="263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</row>
    <row r="8" spans="1:27" ht="18" x14ac:dyDescent="0.4">
      <c r="A8" s="680" t="s">
        <v>6</v>
      </c>
      <c r="B8" s="680"/>
      <c r="C8" s="680"/>
      <c r="D8" s="680"/>
      <c r="E8" s="680"/>
      <c r="F8" s="680"/>
      <c r="G8" s="680"/>
      <c r="H8" s="680"/>
      <c r="I8" s="680"/>
      <c r="J8" s="680"/>
      <c r="K8" s="680"/>
      <c r="L8" s="680"/>
    </row>
    <row r="9" spans="1:2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27" ht="13" x14ac:dyDescent="0.3">
      <c r="A10" s="4"/>
      <c r="B10" s="677" t="s">
        <v>7</v>
      </c>
      <c r="C10" s="677"/>
      <c r="D10" s="677"/>
      <c r="E10" s="677"/>
      <c r="F10" s="677"/>
      <c r="G10" s="677"/>
      <c r="H10" s="677"/>
      <c r="I10" s="677"/>
      <c r="J10" s="677"/>
      <c r="K10" s="677"/>
      <c r="L10" s="4"/>
    </row>
    <row r="11" spans="1:2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27" ht="13" x14ac:dyDescent="0.25">
      <c r="A12" s="4"/>
      <c r="B12" s="681" t="s">
        <v>8</v>
      </c>
      <c r="C12" s="679" t="s">
        <v>9</v>
      </c>
      <c r="D12" s="96"/>
      <c r="E12" s="679" t="s">
        <v>10</v>
      </c>
      <c r="F12" s="679" t="s">
        <v>11</v>
      </c>
      <c r="G12" s="682" t="s">
        <v>12</v>
      </c>
      <c r="H12" s="678" t="s">
        <v>13</v>
      </c>
      <c r="I12" s="678"/>
      <c r="J12" s="678"/>
      <c r="K12" s="679" t="s">
        <v>14</v>
      </c>
      <c r="L12" s="6"/>
    </row>
    <row r="13" spans="1:27" ht="13" x14ac:dyDescent="0.25">
      <c r="A13" s="4"/>
      <c r="B13" s="681"/>
      <c r="C13" s="679" t="s">
        <v>15</v>
      </c>
      <c r="D13" s="96"/>
      <c r="E13" s="679" t="s">
        <v>16</v>
      </c>
      <c r="F13" s="679"/>
      <c r="G13" s="682"/>
      <c r="H13" s="5" t="s">
        <v>17</v>
      </c>
      <c r="I13" s="5" t="s">
        <v>18</v>
      </c>
      <c r="J13" s="5" t="s">
        <v>19</v>
      </c>
      <c r="K13" s="679"/>
      <c r="L13" s="6"/>
    </row>
    <row r="14" spans="1:27" ht="13" x14ac:dyDescent="0.3">
      <c r="A14" s="4"/>
      <c r="B14" s="97" t="s">
        <v>20</v>
      </c>
      <c r="C14" s="98">
        <v>4</v>
      </c>
      <c r="D14" s="98" t="s">
        <v>82</v>
      </c>
      <c r="E14" s="99" t="s">
        <v>21</v>
      </c>
      <c r="F14" s="100">
        <v>8.5999999999999993E-2</v>
      </c>
      <c r="G14" s="7">
        <v>1.6396999999999999</v>
      </c>
      <c r="H14" s="8">
        <v>0.53900000000000003</v>
      </c>
      <c r="I14" s="8">
        <v>0.52039999999999997</v>
      </c>
      <c r="J14" s="8">
        <v>0.48249999999999998</v>
      </c>
      <c r="K14" s="100">
        <v>117</v>
      </c>
      <c r="L14" s="6"/>
    </row>
    <row r="15" spans="1:27" ht="13" x14ac:dyDescent="0.3">
      <c r="A15" s="4"/>
      <c r="B15" s="97" t="s">
        <v>22</v>
      </c>
      <c r="C15" s="98">
        <v>2</v>
      </c>
      <c r="D15" s="98" t="s">
        <v>83</v>
      </c>
      <c r="E15" s="100" t="s">
        <v>21</v>
      </c>
      <c r="F15" s="100">
        <v>0.13600000000000001</v>
      </c>
      <c r="G15" s="7">
        <v>1.0321</v>
      </c>
      <c r="H15" s="8">
        <v>0.54249999999999998</v>
      </c>
      <c r="I15" s="8">
        <v>0.52390000000000003</v>
      </c>
      <c r="J15" s="8">
        <v>0.48599999999999999</v>
      </c>
      <c r="K15" s="100">
        <v>158</v>
      </c>
      <c r="L15" s="6"/>
    </row>
    <row r="16" spans="1:27" ht="13" x14ac:dyDescent="0.3">
      <c r="A16" s="4"/>
      <c r="B16" s="97" t="s">
        <v>23</v>
      </c>
      <c r="C16" s="98" t="s">
        <v>2</v>
      </c>
      <c r="D16" s="98" t="s">
        <v>84</v>
      </c>
      <c r="E16" s="100" t="s">
        <v>21</v>
      </c>
      <c r="F16" s="100">
        <v>0.216</v>
      </c>
      <c r="G16" s="7">
        <v>0.65</v>
      </c>
      <c r="H16" s="8">
        <v>0.53790000000000004</v>
      </c>
      <c r="I16" s="8">
        <v>0.51870000000000005</v>
      </c>
      <c r="J16" s="8">
        <v>0.43140000000000001</v>
      </c>
      <c r="K16" s="100">
        <v>212</v>
      </c>
      <c r="L16" s="6"/>
    </row>
    <row r="17" spans="1:12" ht="13" x14ac:dyDescent="0.3">
      <c r="A17" s="4"/>
      <c r="B17" s="97" t="s">
        <v>24</v>
      </c>
      <c r="C17" s="98" t="s">
        <v>25</v>
      </c>
      <c r="D17" s="98" t="s">
        <v>85</v>
      </c>
      <c r="E17" s="100" t="s">
        <v>21</v>
      </c>
      <c r="F17" s="100">
        <v>0.433</v>
      </c>
      <c r="G17" s="7">
        <v>0.32579999999999998</v>
      </c>
      <c r="H17" s="8">
        <v>0.49199999999999999</v>
      </c>
      <c r="I17" s="8">
        <v>0.47339999999999999</v>
      </c>
      <c r="J17" s="8">
        <v>0.4355</v>
      </c>
      <c r="K17" s="100">
        <v>331</v>
      </c>
      <c r="L17" s="6"/>
    </row>
    <row r="18" spans="1:12" ht="13" x14ac:dyDescent="0.3">
      <c r="A18" s="4"/>
      <c r="B18" s="97" t="s">
        <v>26</v>
      </c>
      <c r="C18" s="98">
        <v>336.4</v>
      </c>
      <c r="D18" s="98" t="s">
        <v>86</v>
      </c>
      <c r="E18" s="100" t="s">
        <v>27</v>
      </c>
      <c r="F18" s="100">
        <v>0.68700000000000006</v>
      </c>
      <c r="G18" s="7">
        <v>0.20349999999999999</v>
      </c>
      <c r="H18" s="8">
        <v>0.4093</v>
      </c>
      <c r="I18" s="8">
        <v>0.3906</v>
      </c>
      <c r="J18" s="8">
        <v>0.3528</v>
      </c>
      <c r="K18" s="100">
        <v>451</v>
      </c>
      <c r="L18" s="6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3" x14ac:dyDescent="0.3">
      <c r="A21" s="677" t="s">
        <v>28</v>
      </c>
      <c r="B21" s="677"/>
      <c r="C21" s="677"/>
      <c r="D21" s="677"/>
      <c r="E21" s="677"/>
      <c r="F21" s="677"/>
      <c r="G21" s="677"/>
      <c r="H21" s="677"/>
      <c r="I21" s="677"/>
      <c r="J21" s="677"/>
      <c r="K21" s="677"/>
      <c r="L21" s="677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3" x14ac:dyDescent="0.25">
      <c r="A23" s="681" t="s">
        <v>8</v>
      </c>
      <c r="B23" s="679" t="s">
        <v>9</v>
      </c>
      <c r="C23" s="679" t="s">
        <v>10</v>
      </c>
      <c r="D23" s="96"/>
      <c r="E23" s="679" t="s">
        <v>11</v>
      </c>
      <c r="F23" s="682" t="s">
        <v>12</v>
      </c>
      <c r="G23" s="678" t="s">
        <v>13</v>
      </c>
      <c r="H23" s="678"/>
      <c r="I23" s="678"/>
      <c r="J23" s="678"/>
      <c r="K23" s="678"/>
      <c r="L23" s="679" t="s">
        <v>14</v>
      </c>
    </row>
    <row r="24" spans="1:12" ht="13" x14ac:dyDescent="0.25">
      <c r="A24" s="681"/>
      <c r="B24" s="679" t="s">
        <v>15</v>
      </c>
      <c r="C24" s="679" t="s">
        <v>16</v>
      </c>
      <c r="D24" s="96"/>
      <c r="E24" s="679"/>
      <c r="F24" s="682"/>
      <c r="G24" s="5" t="s">
        <v>17</v>
      </c>
      <c r="H24" s="5" t="s">
        <v>18</v>
      </c>
      <c r="I24" s="5" t="s">
        <v>19</v>
      </c>
      <c r="J24" s="5" t="s">
        <v>29</v>
      </c>
      <c r="K24" s="5" t="s">
        <v>30</v>
      </c>
      <c r="L24" s="679"/>
    </row>
    <row r="25" spans="1:12" ht="13" x14ac:dyDescent="0.3">
      <c r="A25" s="97" t="s">
        <v>31</v>
      </c>
      <c r="B25" s="98">
        <v>4</v>
      </c>
      <c r="C25" s="100">
        <v>7</v>
      </c>
      <c r="D25" s="98" t="s">
        <v>82</v>
      </c>
      <c r="E25" s="100">
        <v>5.8000000000000003E-2</v>
      </c>
      <c r="F25" s="7">
        <v>1.6119000000000001</v>
      </c>
      <c r="G25" s="9">
        <v>0.50349999999999995</v>
      </c>
      <c r="H25" s="9">
        <v>0.4849</v>
      </c>
      <c r="I25" s="9">
        <v>0.44700000000000001</v>
      </c>
      <c r="J25" s="9">
        <v>0.3599</v>
      </c>
      <c r="K25" s="9">
        <v>0.34250000000000003</v>
      </c>
      <c r="L25" s="100">
        <v>116</v>
      </c>
    </row>
    <row r="26" spans="1:12" ht="13" x14ac:dyDescent="0.3">
      <c r="A26" s="97" t="s">
        <v>32</v>
      </c>
      <c r="B26" s="98">
        <v>2</v>
      </c>
      <c r="C26" s="100">
        <v>7</v>
      </c>
      <c r="D26" s="98" t="s">
        <v>83</v>
      </c>
      <c r="E26" s="100">
        <v>9.1999999999999998E-2</v>
      </c>
      <c r="F26" s="7">
        <v>1.0145</v>
      </c>
      <c r="G26" s="9">
        <v>0.47589999999999999</v>
      </c>
      <c r="H26" s="9">
        <v>0.46729999999999999</v>
      </c>
      <c r="I26" s="9">
        <v>0.4294</v>
      </c>
      <c r="J26" s="9">
        <v>0.34229999999999999</v>
      </c>
      <c r="K26" s="9">
        <v>0.32490000000000002</v>
      </c>
      <c r="L26" s="100">
        <v>155</v>
      </c>
    </row>
    <row r="27" spans="1:12" ht="13" x14ac:dyDescent="0.3">
      <c r="A27" s="97" t="s">
        <v>33</v>
      </c>
      <c r="B27" s="98" t="s">
        <v>2</v>
      </c>
      <c r="C27" s="100">
        <v>7</v>
      </c>
      <c r="D27" s="98" t="s">
        <v>84</v>
      </c>
      <c r="E27" s="100">
        <v>0.14499999999999999</v>
      </c>
      <c r="F27" s="7">
        <v>0.63749999999999996</v>
      </c>
      <c r="G27" s="9">
        <v>0.46850000000000003</v>
      </c>
      <c r="H27" s="9">
        <v>0.44979999999999998</v>
      </c>
      <c r="I27" s="9">
        <v>0.41189999999999999</v>
      </c>
      <c r="J27" s="9">
        <v>0.32490000000000002</v>
      </c>
      <c r="K27" s="9">
        <v>0.30740000000000001</v>
      </c>
      <c r="L27" s="100">
        <v>210</v>
      </c>
    </row>
    <row r="28" spans="1:12" ht="13" x14ac:dyDescent="0.3">
      <c r="A28" s="97" t="s">
        <v>34</v>
      </c>
      <c r="B28" s="98" t="s">
        <v>25</v>
      </c>
      <c r="C28" s="100">
        <v>7</v>
      </c>
      <c r="D28" s="98" t="s">
        <v>85</v>
      </c>
      <c r="E28" s="100">
        <v>0.29299999999999998</v>
      </c>
      <c r="F28" s="7">
        <v>0.3165</v>
      </c>
      <c r="G28" s="9">
        <v>0.44209999999999999</v>
      </c>
      <c r="H28" s="9">
        <v>0.4234</v>
      </c>
      <c r="I28" s="9">
        <v>0.3856</v>
      </c>
      <c r="J28" s="9">
        <v>0.29849999999999999</v>
      </c>
      <c r="K28" s="9">
        <v>0.28100000000000003</v>
      </c>
      <c r="L28" s="100">
        <v>328</v>
      </c>
    </row>
    <row r="29" spans="1:12" ht="13" x14ac:dyDescent="0.3">
      <c r="A29" s="97" t="s">
        <v>35</v>
      </c>
      <c r="B29" s="98">
        <v>336.4</v>
      </c>
      <c r="C29" s="100">
        <v>19</v>
      </c>
      <c r="D29" s="98" t="s">
        <v>86</v>
      </c>
      <c r="E29" s="100">
        <v>0.46700000000000003</v>
      </c>
      <c r="F29" s="7">
        <v>0.20050000000000001</v>
      </c>
      <c r="G29" s="9">
        <v>0.42049999999999998</v>
      </c>
      <c r="H29" s="9">
        <v>0.40189999999999998</v>
      </c>
      <c r="I29" s="9">
        <v>0.36399999999999999</v>
      </c>
      <c r="J29" s="9">
        <v>0.27689999999999998</v>
      </c>
      <c r="K29" s="9">
        <v>0.25950000000000001</v>
      </c>
      <c r="L29" s="100">
        <v>444</v>
      </c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sheetProtection password="DEE8" sheet="1" objects="1" scenarios="1"/>
  <customSheetViews>
    <customSheetView guid="{ADCFDDAA-AF71-42CE-8FD7-7ABB67CB940B}" scale="87" showPageBreaks="1" showGridLines="0" printArea="1" hiddenColumns="1" view="pageBreakPreview">
      <selection activeCell="C14" sqref="C14"/>
      <pageMargins left="0.78740157480314965" right="0.78740157480314965" top="0.98425196850393704" bottom="0.98425196850393704" header="0.51181102362204722" footer="0.51181102362204722"/>
      <printOptions horizontalCentered="1" verticalCentered="1"/>
      <pageSetup orientation="landscape" horizontalDpi="300" verticalDpi="300" r:id="rId1"/>
      <headerFooter alignWithMargins="0"/>
    </customSheetView>
  </customSheetViews>
  <mergeCells count="19">
    <mergeCell ref="G23:K23"/>
    <mergeCell ref="L23:L24"/>
    <mergeCell ref="A8:L8"/>
    <mergeCell ref="B10:K10"/>
    <mergeCell ref="B12:B13"/>
    <mergeCell ref="C12:C13"/>
    <mergeCell ref="E12:E13"/>
    <mergeCell ref="F12:F13"/>
    <mergeCell ref="G12:G13"/>
    <mergeCell ref="A23:A24"/>
    <mergeCell ref="B23:B24"/>
    <mergeCell ref="C23:C24"/>
    <mergeCell ref="E23:E24"/>
    <mergeCell ref="F23:F24"/>
    <mergeCell ref="A2:L2"/>
    <mergeCell ref="A3:L3"/>
    <mergeCell ref="A21:L21"/>
    <mergeCell ref="H12:J12"/>
    <mergeCell ref="K12:K13"/>
  </mergeCells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1"/>
  <dimension ref="A1:AA28"/>
  <sheetViews>
    <sheetView showGridLines="0" view="pageBreakPreview" topLeftCell="A4" zoomScale="87" zoomScaleNormal="75" workbookViewId="0">
      <selection activeCell="K21" sqref="K21:K27"/>
    </sheetView>
  </sheetViews>
  <sheetFormatPr defaultRowHeight="12.5" x14ac:dyDescent="0.25"/>
  <cols>
    <col min="1" max="1" width="14.81640625" customWidth="1"/>
    <col min="2" max="2" width="18.7265625" customWidth="1"/>
    <col min="3" max="3" width="10.7265625" customWidth="1"/>
    <col min="4" max="4" width="12.453125" customWidth="1"/>
    <col min="5" max="5" width="11.81640625" customWidth="1"/>
    <col min="6" max="6" width="11.54296875" customWidth="1"/>
    <col min="7" max="7" width="11" customWidth="1"/>
    <col min="8" max="9" width="10.453125" customWidth="1"/>
    <col min="10" max="10" width="10.7265625" customWidth="1"/>
    <col min="11" max="11" width="11.81640625" customWidth="1"/>
    <col min="12" max="12" width="13.1796875" customWidth="1"/>
  </cols>
  <sheetData>
    <row r="1" spans="1:27" ht="11.25" customHeight="1" x14ac:dyDescent="0.5">
      <c r="A1" s="384"/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6"/>
      <c r="M1" s="25"/>
      <c r="N1" s="25"/>
      <c r="O1" s="25"/>
      <c r="P1" s="25"/>
      <c r="Q1" s="25"/>
      <c r="R1" s="25"/>
    </row>
    <row r="2" spans="1:27" x14ac:dyDescent="0.25">
      <c r="A2" s="693"/>
      <c r="B2" s="657"/>
      <c r="C2" s="657"/>
      <c r="D2" s="657"/>
      <c r="E2" s="657"/>
      <c r="F2" s="657"/>
      <c r="G2" s="657"/>
      <c r="H2" s="657"/>
      <c r="I2" s="657"/>
      <c r="J2" s="657"/>
      <c r="K2" s="657"/>
      <c r="L2" s="694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</row>
    <row r="3" spans="1:27" ht="20" x14ac:dyDescent="0.4">
      <c r="A3" s="695" t="s">
        <v>244</v>
      </c>
      <c r="B3" s="658"/>
      <c r="C3" s="658"/>
      <c r="D3" s="658"/>
      <c r="E3" s="658"/>
      <c r="F3" s="658"/>
      <c r="G3" s="658"/>
      <c r="H3" s="658"/>
      <c r="I3" s="658"/>
      <c r="J3" s="658"/>
      <c r="K3" s="658"/>
      <c r="L3" s="696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</row>
    <row r="4" spans="1:27" x14ac:dyDescent="0.25">
      <c r="A4" s="387"/>
      <c r="B4" s="2"/>
      <c r="C4" s="2"/>
      <c r="D4" s="2"/>
      <c r="E4" s="2"/>
      <c r="F4" s="2"/>
      <c r="G4" s="2"/>
      <c r="H4" s="2"/>
      <c r="I4" s="2"/>
      <c r="J4" s="2"/>
      <c r="K4" s="2"/>
      <c r="L4" s="388"/>
    </row>
    <row r="5" spans="1:27" x14ac:dyDescent="0.25">
      <c r="A5" s="387"/>
      <c r="B5" s="2"/>
      <c r="C5" s="2"/>
      <c r="D5" s="2"/>
      <c r="E5" s="2"/>
      <c r="F5" s="2"/>
      <c r="G5" s="2"/>
      <c r="H5" s="2"/>
      <c r="I5" s="2"/>
      <c r="J5" s="2"/>
      <c r="K5" s="2"/>
      <c r="L5" s="388"/>
    </row>
    <row r="6" spans="1:27" x14ac:dyDescent="0.25">
      <c r="A6" s="387"/>
      <c r="B6" s="2"/>
      <c r="C6" s="2"/>
      <c r="D6" s="2"/>
      <c r="E6" s="2"/>
      <c r="F6" s="2"/>
      <c r="G6" s="2"/>
      <c r="H6" s="2"/>
      <c r="I6" s="2"/>
      <c r="J6" s="2"/>
      <c r="L6" s="388"/>
      <c r="N6" s="2">
        <f>ACOS('BT-MX'!G13)/PI()*180</f>
        <v>23.073918065630959</v>
      </c>
    </row>
    <row r="7" spans="1:27" x14ac:dyDescent="0.25">
      <c r="A7" s="389"/>
      <c r="B7" s="390"/>
      <c r="C7" s="390"/>
      <c r="D7" s="390"/>
      <c r="E7" s="390"/>
      <c r="F7" s="390"/>
      <c r="G7" s="390"/>
      <c r="H7" s="390"/>
      <c r="I7" s="390"/>
      <c r="J7" s="390"/>
      <c r="L7" s="391"/>
      <c r="N7" s="390">
        <f>COS(N6*PI()/180)</f>
        <v>0.92000000000000015</v>
      </c>
    </row>
    <row r="8" spans="1:27" ht="18" x14ac:dyDescent="0.4">
      <c r="A8" s="697" t="s">
        <v>208</v>
      </c>
      <c r="B8" s="698"/>
      <c r="C8" s="698"/>
      <c r="D8" s="698"/>
      <c r="E8" s="698"/>
      <c r="F8" s="698"/>
      <c r="G8" s="698"/>
      <c r="H8" s="698"/>
      <c r="I8" s="698"/>
      <c r="J8" s="698"/>
      <c r="K8" s="698"/>
      <c r="L8" s="699"/>
    </row>
    <row r="9" spans="1:27" ht="13" thickBot="1" x14ac:dyDescent="0.3">
      <c r="A9" s="392"/>
      <c r="B9" s="17"/>
      <c r="C9" s="17"/>
      <c r="D9" s="17"/>
      <c r="E9" s="17"/>
      <c r="F9" s="17"/>
      <c r="G9" s="17"/>
      <c r="H9" s="17"/>
      <c r="I9" s="17"/>
      <c r="J9" s="17"/>
      <c r="K9" s="17"/>
      <c r="L9" s="393"/>
    </row>
    <row r="10" spans="1:27" ht="33" customHeight="1" x14ac:dyDescent="0.3">
      <c r="A10" s="683" t="s">
        <v>209</v>
      </c>
      <c r="B10" s="686" t="s">
        <v>210</v>
      </c>
      <c r="C10" s="154"/>
      <c r="D10" s="691" t="s">
        <v>211</v>
      </c>
      <c r="E10" s="691"/>
      <c r="F10" s="691" t="s">
        <v>272</v>
      </c>
      <c r="G10" s="690" t="s">
        <v>212</v>
      </c>
      <c r="H10" s="690"/>
      <c r="I10" s="688" t="s">
        <v>213</v>
      </c>
      <c r="J10" s="688"/>
      <c r="K10" s="688"/>
      <c r="L10" s="689"/>
    </row>
    <row r="11" spans="1:27" ht="15" customHeight="1" thickBot="1" x14ac:dyDescent="0.35">
      <c r="A11" s="685"/>
      <c r="B11" s="687"/>
      <c r="C11" s="155"/>
      <c r="D11" s="156" t="s">
        <v>214</v>
      </c>
      <c r="E11" s="156" t="s">
        <v>205</v>
      </c>
      <c r="F11" s="692"/>
      <c r="G11" s="155" t="s">
        <v>214</v>
      </c>
      <c r="H11" s="155" t="s">
        <v>205</v>
      </c>
      <c r="I11" s="155">
        <v>1</v>
      </c>
      <c r="J11" s="155">
        <v>2</v>
      </c>
      <c r="K11" s="155">
        <v>3</v>
      </c>
      <c r="L11" s="157">
        <v>13</v>
      </c>
    </row>
    <row r="12" spans="1:27" ht="15" customHeight="1" x14ac:dyDescent="0.25">
      <c r="A12" s="683" t="s">
        <v>215</v>
      </c>
      <c r="B12" s="158" t="s">
        <v>216</v>
      </c>
      <c r="C12" s="159" t="s">
        <v>82</v>
      </c>
      <c r="D12" s="160">
        <v>3.8719999999999999</v>
      </c>
      <c r="E12" s="160">
        <f>D12</f>
        <v>3.8719999999999999</v>
      </c>
      <c r="F12" s="160">
        <v>0.1033</v>
      </c>
      <c r="G12" s="161">
        <v>55</v>
      </c>
      <c r="H12" s="161">
        <v>71</v>
      </c>
      <c r="I12" s="162">
        <f>300*((D12+D12)*COS(PI()*$N$6/180)+(F12+F12)*SIN(PI()*$N$6/180))/('BT-MX'!$D$13^2)</f>
        <v>4.4661882228951087E-2</v>
      </c>
      <c r="J12" s="162"/>
      <c r="K12" s="162"/>
      <c r="L12" s="163"/>
    </row>
    <row r="13" spans="1:27" ht="15" customHeight="1" x14ac:dyDescent="0.25">
      <c r="A13" s="684"/>
      <c r="B13" s="164" t="s">
        <v>217</v>
      </c>
      <c r="C13" s="165" t="s">
        <v>83</v>
      </c>
      <c r="D13" s="166">
        <v>2.4489999999999998</v>
      </c>
      <c r="E13" s="166">
        <f t="shared" ref="E13:E27" si="0">D13</f>
        <v>2.4489999999999998</v>
      </c>
      <c r="F13" s="166">
        <v>0.1032</v>
      </c>
      <c r="G13" s="167">
        <v>88</v>
      </c>
      <c r="H13" s="167">
        <v>102</v>
      </c>
      <c r="I13" s="153">
        <f>300*((D13+D13)*COS(PI()*$N$6/180)+(F13+F13)*SIN(PI()*$N$6/180))/('BT-MX'!$D$13^2)</f>
        <v>2.8432140181398793E-2</v>
      </c>
      <c r="J13" s="153"/>
      <c r="K13" s="153"/>
      <c r="L13" s="168"/>
    </row>
    <row r="14" spans="1:27" ht="15" customHeight="1" thickBot="1" x14ac:dyDescent="0.3">
      <c r="A14" s="685"/>
      <c r="B14" s="169" t="s">
        <v>218</v>
      </c>
      <c r="C14" s="170" t="s">
        <v>84</v>
      </c>
      <c r="D14" s="171">
        <v>1.5389999999999999</v>
      </c>
      <c r="E14" s="171">
        <f t="shared" si="0"/>
        <v>1.5389999999999999</v>
      </c>
      <c r="F14" s="171">
        <v>0.1007</v>
      </c>
      <c r="G14" s="172">
        <v>122</v>
      </c>
      <c r="H14" s="172">
        <v>143</v>
      </c>
      <c r="I14" s="173">
        <f>300*((D14+D14)*COS(PI()*$N$6/180)+(F14+F14)*SIN(PI()*$N$6/180))/('BT-MX'!$D$13^2)</f>
        <v>1.8041481554575075E-2</v>
      </c>
      <c r="J14" s="173"/>
      <c r="K14" s="173"/>
      <c r="L14" s="174"/>
    </row>
    <row r="15" spans="1:27" ht="15" customHeight="1" x14ac:dyDescent="0.25">
      <c r="A15" s="683" t="s">
        <v>219</v>
      </c>
      <c r="B15" s="158" t="s">
        <v>220</v>
      </c>
      <c r="C15" s="159" t="s">
        <v>82</v>
      </c>
      <c r="D15" s="160">
        <v>3.8719999999999999</v>
      </c>
      <c r="E15" s="160">
        <f t="shared" si="0"/>
        <v>3.8719999999999999</v>
      </c>
      <c r="F15" s="160">
        <v>0.1084</v>
      </c>
      <c r="G15" s="161">
        <v>55</v>
      </c>
      <c r="H15" s="161">
        <v>71</v>
      </c>
      <c r="I15" s="162"/>
      <c r="J15" s="162">
        <f>150*((D15+0.5*D15)*COS(PI()*$N$6/180)+(F15+0.5*F15)*SIN(PI()*$N$6/180))/('BT-MX'!$D$13^2)</f>
        <v>1.6757497701905724E-2</v>
      </c>
      <c r="K15" s="162"/>
      <c r="L15" s="458">
        <v>1.04E-2</v>
      </c>
    </row>
    <row r="16" spans="1:27" ht="15" customHeight="1" x14ac:dyDescent="0.25">
      <c r="A16" s="684"/>
      <c r="B16" s="164" t="s">
        <v>221</v>
      </c>
      <c r="C16" s="165" t="s">
        <v>83</v>
      </c>
      <c r="D16" s="166">
        <v>2.4489999999999998</v>
      </c>
      <c r="E16" s="166">
        <f t="shared" si="0"/>
        <v>2.4489999999999998</v>
      </c>
      <c r="F16" s="166">
        <v>0.107</v>
      </c>
      <c r="G16" s="167">
        <v>88</v>
      </c>
      <c r="H16" s="167">
        <v>102</v>
      </c>
      <c r="I16" s="153"/>
      <c r="J16" s="153">
        <f>150*((D16+0.5*D16)*COS(PI()*$N$6/180)+(F16+0.5*F16)*SIN(PI()*$N$6/180))/('BT-MX'!$D$13^2)</f>
        <v>1.0668975919198366E-2</v>
      </c>
      <c r="K16" s="153"/>
      <c r="L16" s="459">
        <v>6.62E-3</v>
      </c>
    </row>
    <row r="17" spans="1:12" ht="15" customHeight="1" x14ac:dyDescent="0.25">
      <c r="A17" s="684"/>
      <c r="B17" s="164" t="s">
        <v>222</v>
      </c>
      <c r="C17" s="165" t="s">
        <v>84</v>
      </c>
      <c r="D17" s="166">
        <v>1.5389999999999999</v>
      </c>
      <c r="E17" s="166">
        <f t="shared" si="0"/>
        <v>1.5389999999999999</v>
      </c>
      <c r="F17" s="166">
        <v>0.1047</v>
      </c>
      <c r="G17" s="167">
        <v>122</v>
      </c>
      <c r="H17" s="167">
        <v>143</v>
      </c>
      <c r="I17" s="153"/>
      <c r="J17" s="153">
        <f>150*((D17+0.5*D17)*COS(PI()*$N$6/180)+(F17+0.5*F17)*SIN(PI()*$N$6/180))/('BT-MX'!$D$13^2)</f>
        <v>6.7728433210433548E-3</v>
      </c>
      <c r="K17" s="153"/>
      <c r="L17" s="459">
        <v>4.2199999999999998E-3</v>
      </c>
    </row>
    <row r="18" spans="1:12" ht="15" customHeight="1" x14ac:dyDescent="0.25">
      <c r="A18" s="684"/>
      <c r="B18" s="164" t="s">
        <v>223</v>
      </c>
      <c r="C18" s="165" t="s">
        <v>85</v>
      </c>
      <c r="D18" s="166">
        <v>1.113</v>
      </c>
      <c r="E18" s="166">
        <f t="shared" si="0"/>
        <v>1.113</v>
      </c>
      <c r="F18" s="166">
        <v>0.1048</v>
      </c>
      <c r="G18" s="167">
        <v>149</v>
      </c>
      <c r="H18" s="167">
        <v>175</v>
      </c>
      <c r="I18" s="153"/>
      <c r="J18" s="153">
        <f>150*((D18+0.5*D18)*COS(PI()*$N$6/180)+(F18+0.5*F18)*SIN(PI()*$N$6/180))/('BT-MX'!$D$13^2)</f>
        <v>4.9510833657349677E-3</v>
      </c>
      <c r="K18" s="153"/>
      <c r="L18" s="459">
        <v>3.1099999999999999E-3</v>
      </c>
    </row>
    <row r="19" spans="1:12" ht="15" customHeight="1" x14ac:dyDescent="0.25">
      <c r="A19" s="684"/>
      <c r="B19" s="164" t="s">
        <v>241</v>
      </c>
      <c r="C19" s="165" t="s">
        <v>86</v>
      </c>
      <c r="D19" s="166">
        <v>0.82199999999999995</v>
      </c>
      <c r="E19" s="166">
        <f t="shared" si="0"/>
        <v>0.82199999999999995</v>
      </c>
      <c r="F19" s="166">
        <v>0.1028</v>
      </c>
      <c r="G19" s="167">
        <v>178</v>
      </c>
      <c r="H19" s="167">
        <v>211</v>
      </c>
      <c r="I19" s="153"/>
      <c r="J19" s="153">
        <f>150*((D19+0.5*D19)*COS(PI()*$N$6/180)+(F19+0.5*F19)*SIN(PI()*$N$6/180))/('BT-MX'!$D$13^2)</f>
        <v>3.7028733809936366E-3</v>
      </c>
      <c r="K19" s="153"/>
      <c r="L19" s="459">
        <v>2.3400000000000001E-3</v>
      </c>
    </row>
    <row r="20" spans="1:12" ht="15" customHeight="1" thickBot="1" x14ac:dyDescent="0.3">
      <c r="A20" s="685"/>
      <c r="B20" s="169" t="s">
        <v>224</v>
      </c>
      <c r="C20" s="170" t="s">
        <v>87</v>
      </c>
      <c r="D20" s="171">
        <v>0.56899999999999995</v>
      </c>
      <c r="E20" s="171">
        <f t="shared" si="0"/>
        <v>0.56899999999999995</v>
      </c>
      <c r="F20" s="171">
        <v>9.8000000000000004E-2</v>
      </c>
      <c r="G20" s="172">
        <v>220</v>
      </c>
      <c r="H20" s="172">
        <v>268</v>
      </c>
      <c r="I20" s="173"/>
      <c r="J20" s="173">
        <f>150*((D20+0.5*D20)*COS(PI()*$N$6/180)+(F20+0.5*F20)*SIN(PI()*$N$6/180))/('BT-MX'!$D$13^2)</f>
        <v>2.6120826407549395E-3</v>
      </c>
      <c r="K20" s="173"/>
      <c r="L20" s="460">
        <v>1.6799999999999999E-2</v>
      </c>
    </row>
    <row r="21" spans="1:12" ht="15" customHeight="1" x14ac:dyDescent="0.25">
      <c r="A21" s="683" t="s">
        <v>225</v>
      </c>
      <c r="B21" s="158" t="s">
        <v>226</v>
      </c>
      <c r="C21" s="159" t="s">
        <v>82</v>
      </c>
      <c r="D21" s="160">
        <v>3.8719999999999999</v>
      </c>
      <c r="E21" s="160">
        <f t="shared" si="0"/>
        <v>3.8719999999999999</v>
      </c>
      <c r="F21" s="160">
        <v>0.1138</v>
      </c>
      <c r="G21" s="161">
        <v>43</v>
      </c>
      <c r="H21" s="161">
        <v>62</v>
      </c>
      <c r="I21" s="162"/>
      <c r="J21" s="162"/>
      <c r="K21" s="162">
        <f>100*(D21*COS(PI()*$N$6/180)+F21*SIN(PI()*$N$6/180))/('BT-MX'!$D$13^2)</f>
        <v>7.4521493992491658E-3</v>
      </c>
      <c r="L21" s="163"/>
    </row>
    <row r="22" spans="1:12" ht="15" customHeight="1" x14ac:dyDescent="0.25">
      <c r="A22" s="684"/>
      <c r="B22" s="164" t="s">
        <v>227</v>
      </c>
      <c r="C22" s="165" t="s">
        <v>83</v>
      </c>
      <c r="D22" s="166">
        <v>2.4489999999999998</v>
      </c>
      <c r="E22" s="166">
        <f t="shared" si="0"/>
        <v>2.4489999999999998</v>
      </c>
      <c r="F22" s="166">
        <v>0.1087</v>
      </c>
      <c r="G22" s="167">
        <v>78</v>
      </c>
      <c r="H22" s="167">
        <v>90</v>
      </c>
      <c r="I22" s="153"/>
      <c r="J22" s="153"/>
      <c r="K22" s="153">
        <f>100*(D22*COS(PI()*$N$6/180)+F22*SIN(PI()*$N$6/180))/('BT-MX'!$D$13^2)</f>
        <v>4.7431436479472835E-3</v>
      </c>
      <c r="L22" s="168"/>
    </row>
    <row r="23" spans="1:12" ht="15" customHeight="1" x14ac:dyDescent="0.25">
      <c r="A23" s="684"/>
      <c r="B23" s="164" t="s">
        <v>228</v>
      </c>
      <c r="C23" s="165" t="s">
        <v>84</v>
      </c>
      <c r="D23" s="166">
        <v>1.5389999999999999</v>
      </c>
      <c r="E23" s="166">
        <f t="shared" si="0"/>
        <v>1.5389999999999999</v>
      </c>
      <c r="F23" s="166">
        <v>0.1076</v>
      </c>
      <c r="G23" s="167">
        <v>104</v>
      </c>
      <c r="H23" s="167">
        <v>122</v>
      </c>
      <c r="I23" s="153"/>
      <c r="J23" s="153"/>
      <c r="K23" s="153">
        <f>100*(D23*COS(PI()*$N$6/180)+F23*SIN(PI()*$N$6/180))/('BT-MX'!$D$13^2)</f>
        <v>3.0125008582887508E-3</v>
      </c>
      <c r="L23" s="168"/>
    </row>
    <row r="24" spans="1:12" ht="15" customHeight="1" x14ac:dyDescent="0.25">
      <c r="A24" s="684"/>
      <c r="B24" s="164" t="s">
        <v>229</v>
      </c>
      <c r="C24" s="165" t="s">
        <v>85</v>
      </c>
      <c r="D24" s="166">
        <v>1.1201000000000001</v>
      </c>
      <c r="E24" s="166">
        <f t="shared" si="0"/>
        <v>1.1201000000000001</v>
      </c>
      <c r="F24" s="166">
        <v>0.1135</v>
      </c>
      <c r="G24" s="167">
        <v>126</v>
      </c>
      <c r="H24" s="167">
        <v>148</v>
      </c>
      <c r="I24" s="153"/>
      <c r="J24" s="153"/>
      <c r="K24" s="153">
        <f>100*(D24*COS(PI()*$N$6/180)+F24*SIN(PI()*$N$6/180))/('BT-MX'!$D$13^2)</f>
        <v>2.2210221771259146E-3</v>
      </c>
      <c r="L24" s="168"/>
    </row>
    <row r="25" spans="1:12" ht="15" customHeight="1" x14ac:dyDescent="0.25">
      <c r="A25" s="684"/>
      <c r="B25" s="164" t="s">
        <v>242</v>
      </c>
      <c r="C25" s="165" t="s">
        <v>86</v>
      </c>
      <c r="D25" s="166">
        <v>0.8327</v>
      </c>
      <c r="E25" s="166">
        <f t="shared" si="0"/>
        <v>0.8327</v>
      </c>
      <c r="F25" s="166">
        <v>0.1115</v>
      </c>
      <c r="G25" s="167">
        <v>152</v>
      </c>
      <c r="H25" s="167">
        <v>180</v>
      </c>
      <c r="I25" s="153"/>
      <c r="J25" s="153"/>
      <c r="K25" s="153">
        <f>100*(D25*COS(PI()*$N$6/180)+F25*SIN(PI()*$N$6/180))/('BT-MX'!$D$13^2)</f>
        <v>1.6731051591141568E-3</v>
      </c>
      <c r="L25" s="168"/>
    </row>
    <row r="26" spans="1:12" ht="15" customHeight="1" x14ac:dyDescent="0.25">
      <c r="A26" s="684"/>
      <c r="B26" s="164" t="s">
        <v>230</v>
      </c>
      <c r="C26" s="165" t="s">
        <v>87</v>
      </c>
      <c r="D26" s="166">
        <v>0.57869999999999999</v>
      </c>
      <c r="E26" s="166">
        <f t="shared" si="0"/>
        <v>0.57869999999999999</v>
      </c>
      <c r="F26" s="166">
        <v>0.1067</v>
      </c>
      <c r="G26" s="167">
        <v>190</v>
      </c>
      <c r="H26" s="167">
        <v>225</v>
      </c>
      <c r="I26" s="153"/>
      <c r="J26" s="153"/>
      <c r="K26" s="153">
        <f>100*(D26*COS(PI()*$N$6/180)+F26*SIN(PI()*$N$6/180))/('BT-MX'!$D$13^2)</f>
        <v>1.1864084481173437E-3</v>
      </c>
      <c r="L26" s="168"/>
    </row>
    <row r="27" spans="1:12" ht="15" customHeight="1" thickBot="1" x14ac:dyDescent="0.3">
      <c r="A27" s="685"/>
      <c r="B27" s="169" t="s">
        <v>231</v>
      </c>
      <c r="C27" s="170" t="s">
        <v>88</v>
      </c>
      <c r="D27" s="171">
        <v>0.34239999999999998</v>
      </c>
      <c r="E27" s="171">
        <f t="shared" si="0"/>
        <v>0.34239999999999998</v>
      </c>
      <c r="F27" s="171">
        <v>9.8799999999999999E-2</v>
      </c>
      <c r="G27" s="172">
        <v>268</v>
      </c>
      <c r="H27" s="172">
        <v>319</v>
      </c>
      <c r="I27" s="173"/>
      <c r="J27" s="173"/>
      <c r="K27" s="173">
        <f>100*(D27*COS(PI()*$N$6/180)+F27*SIN(PI()*$N$6/180))/('BT-MX'!$D$13^2)</f>
        <v>7.3084614432627364E-4</v>
      </c>
      <c r="L27" s="174"/>
    </row>
    <row r="28" spans="1:12" x14ac:dyDescent="0.25">
      <c r="C28" s="152"/>
    </row>
  </sheetData>
  <customSheetViews>
    <customSheetView guid="{ADCFDDAA-AF71-42CE-8FD7-7ABB67CB940B}" scale="87" showPageBreaks="1" showGridLines="0" printArea="1" hiddenColumns="1" view="pageBreakPreview">
      <selection activeCell="M40" sqref="M40"/>
      <pageMargins left="0.78740157480314965" right="0.78740157480314965" top="0.98425196850393704" bottom="0.98425196850393704" header="0.51181102362204722" footer="0.51181102362204722"/>
      <printOptions horizontalCentered="1" verticalCentered="1"/>
      <pageSetup scale="83" orientation="landscape" horizontalDpi="300" verticalDpi="300" r:id="rId1"/>
      <headerFooter alignWithMargins="0"/>
    </customSheetView>
  </customSheetViews>
  <mergeCells count="12">
    <mergeCell ref="A2:L2"/>
    <mergeCell ref="A3:L3"/>
    <mergeCell ref="A12:A14"/>
    <mergeCell ref="A15:A20"/>
    <mergeCell ref="A8:L8"/>
    <mergeCell ref="A21:A27"/>
    <mergeCell ref="B10:B11"/>
    <mergeCell ref="I10:L10"/>
    <mergeCell ref="G10:H10"/>
    <mergeCell ref="A10:A11"/>
    <mergeCell ref="D10:E10"/>
    <mergeCell ref="F10:F11"/>
  </mergeCells>
  <phoneticPr fontId="0" type="noConversion"/>
  <printOptions horizontalCentered="1"/>
  <pageMargins left="0.39370078740157483" right="0.39370078740157483" top="0.78740157480314965" bottom="0.78740157480314965" header="0.51181102362204722" footer="0.51181102362204722"/>
  <pageSetup paperSize="9" orientation="landscape" horizontalDpi="300" verticalDpi="300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O45"/>
  <sheetViews>
    <sheetView view="pageBreakPreview" topLeftCell="A15" zoomScaleNormal="100" workbookViewId="0">
      <selection activeCell="C14" sqref="C14"/>
    </sheetView>
  </sheetViews>
  <sheetFormatPr defaultRowHeight="12.5" x14ac:dyDescent="0.25"/>
  <sheetData>
    <row r="1" spans="1:15" x14ac:dyDescent="0.25">
      <c r="A1" s="4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25">
      <c r="A2" s="4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5">
      <c r="A3" s="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5" ht="13" x14ac:dyDescent="0.3">
      <c r="A4" s="4"/>
      <c r="B4" s="701" t="s">
        <v>146</v>
      </c>
      <c r="C4" s="70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5" ht="13" x14ac:dyDescent="0.3">
      <c r="A5" s="4"/>
      <c r="B5" s="19"/>
      <c r="C5" s="19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5" ht="13" x14ac:dyDescent="0.3">
      <c r="A6" s="4"/>
      <c r="B6" s="19"/>
      <c r="C6" s="19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5" ht="13" x14ac:dyDescent="0.3">
      <c r="A7" s="4"/>
      <c r="B7" s="19"/>
      <c r="C7" s="19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x14ac:dyDescent="0.25">
      <c r="A8" s="4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</row>
    <row r="9" spans="1:15" x14ac:dyDescent="0.25">
      <c r="A9" s="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x14ac:dyDescent="0.25">
      <c r="A10" s="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</row>
    <row r="11" spans="1:15" x14ac:dyDescent="0.25">
      <c r="A11" s="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x14ac:dyDescent="0.25">
      <c r="A12" s="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x14ac:dyDescent="0.25">
      <c r="A13" s="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 x14ac:dyDescent="0.25">
      <c r="A14" s="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ht="13" x14ac:dyDescent="0.3">
      <c r="A15" s="4"/>
      <c r="B15" s="20"/>
      <c r="C15" s="20"/>
      <c r="D15" s="21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3" x14ac:dyDescent="0.3">
      <c r="A16" s="4"/>
      <c r="B16" s="20"/>
      <c r="C16" s="20"/>
      <c r="D16" s="21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3" x14ac:dyDescent="0.3">
      <c r="A17" s="4"/>
      <c r="B17" s="20"/>
      <c r="C17" s="20"/>
      <c r="D17" s="21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ht="13" x14ac:dyDescent="0.3">
      <c r="A18" s="4"/>
      <c r="B18" s="700" t="s">
        <v>149</v>
      </c>
      <c r="C18" s="700"/>
      <c r="D18" s="21"/>
      <c r="E18" s="17"/>
      <c r="F18" s="17"/>
      <c r="G18" s="20" t="s">
        <v>153</v>
      </c>
      <c r="H18" s="20"/>
      <c r="I18" s="20"/>
      <c r="J18" s="17"/>
      <c r="K18" s="17"/>
      <c r="L18" s="20" t="s">
        <v>157</v>
      </c>
      <c r="M18" s="20"/>
      <c r="N18" s="20"/>
      <c r="O18" s="17"/>
    </row>
    <row r="19" spans="1:15" ht="13" x14ac:dyDescent="0.3">
      <c r="A19" s="4"/>
      <c r="B19" s="20"/>
      <c r="C19" s="20"/>
      <c r="D19" s="21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ht="14.5" x14ac:dyDescent="0.25">
      <c r="A20" s="4"/>
      <c r="B20" s="700" t="s">
        <v>177</v>
      </c>
      <c r="C20" s="700"/>
      <c r="D20" s="700"/>
      <c r="E20" s="17"/>
      <c r="F20" s="17"/>
      <c r="G20" s="700" t="s">
        <v>178</v>
      </c>
      <c r="H20" s="700"/>
      <c r="I20" s="700"/>
      <c r="J20" s="17"/>
      <c r="K20" s="17"/>
      <c r="L20" s="700" t="s">
        <v>170</v>
      </c>
      <c r="M20" s="700"/>
      <c r="N20" s="700"/>
      <c r="O20" s="17"/>
    </row>
    <row r="21" spans="1:15" ht="13" x14ac:dyDescent="0.3">
      <c r="A21" s="4"/>
      <c r="B21" s="20"/>
      <c r="C21" s="20"/>
      <c r="D21" s="21"/>
      <c r="E21" s="17"/>
      <c r="F21" s="17"/>
      <c r="G21" s="20"/>
      <c r="H21" s="20"/>
      <c r="I21" s="21"/>
      <c r="J21" s="17"/>
      <c r="K21" s="17"/>
      <c r="L21" s="17"/>
      <c r="M21" s="17"/>
      <c r="N21" s="17"/>
      <c r="O21" s="17"/>
    </row>
    <row r="22" spans="1:15" ht="14.5" x14ac:dyDescent="0.25">
      <c r="A22" s="4"/>
      <c r="B22" s="700" t="s">
        <v>179</v>
      </c>
      <c r="C22" s="700"/>
      <c r="D22" s="700"/>
      <c r="E22" s="17"/>
      <c r="F22" s="17"/>
      <c r="G22" s="700" t="s">
        <v>180</v>
      </c>
      <c r="H22" s="700"/>
      <c r="I22" s="700"/>
      <c r="J22" s="17"/>
      <c r="K22" s="17"/>
      <c r="L22" s="700" t="s">
        <v>171</v>
      </c>
      <c r="M22" s="700"/>
      <c r="N22" s="700"/>
      <c r="O22" s="17"/>
    </row>
    <row r="23" spans="1:15" ht="13" x14ac:dyDescent="0.3">
      <c r="A23" s="4"/>
      <c r="B23" s="20"/>
      <c r="C23" s="20"/>
      <c r="D23" s="21"/>
      <c r="E23" s="17"/>
      <c r="F23" s="17"/>
      <c r="G23" s="20"/>
      <c r="H23" s="20"/>
      <c r="I23" s="21"/>
      <c r="J23" s="17"/>
      <c r="K23" s="17"/>
      <c r="L23" s="17"/>
      <c r="M23" s="17"/>
      <c r="N23" s="17"/>
      <c r="O23" s="17"/>
    </row>
    <row r="24" spans="1:15" x14ac:dyDescent="0.25">
      <c r="A24" s="4"/>
      <c r="B24" s="700" t="s">
        <v>172</v>
      </c>
      <c r="C24" s="700"/>
      <c r="D24" s="700"/>
      <c r="E24" s="17"/>
      <c r="F24" s="17"/>
      <c r="G24" s="700" t="s">
        <v>173</v>
      </c>
      <c r="H24" s="700"/>
      <c r="I24" s="700"/>
      <c r="J24" s="17"/>
      <c r="K24" s="17"/>
      <c r="L24" s="17"/>
      <c r="M24" s="17"/>
      <c r="N24" s="17"/>
      <c r="O24" s="17"/>
    </row>
    <row r="25" spans="1:15" ht="13" x14ac:dyDescent="0.3">
      <c r="A25" s="4"/>
      <c r="B25" s="20"/>
      <c r="C25" s="20"/>
      <c r="D25" s="21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5">
      <c r="A26" s="4"/>
      <c r="B26" s="4"/>
      <c r="C26" s="4"/>
      <c r="D26" s="4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ht="13" x14ac:dyDescent="0.3">
      <c r="A27" s="4"/>
      <c r="B27" s="701" t="s">
        <v>174</v>
      </c>
      <c r="C27" s="701"/>
      <c r="D27" s="701"/>
      <c r="E27" s="701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ht="13" x14ac:dyDescent="0.3">
      <c r="A28" s="4"/>
      <c r="B28" s="20"/>
      <c r="C28" s="20"/>
      <c r="D28" s="21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5" x14ac:dyDescent="0.25">
      <c r="A29" s="4"/>
      <c r="B29" s="17"/>
      <c r="C29" s="22"/>
      <c r="D29" s="22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x14ac:dyDescent="0.25">
      <c r="A30" s="4"/>
      <c r="B30" s="4"/>
      <c r="C30" s="4"/>
      <c r="D30" s="4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ht="15.5" x14ac:dyDescent="0.35">
      <c r="A31" s="4"/>
      <c r="B31" s="17"/>
      <c r="C31" s="24"/>
      <c r="D31" s="24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5" x14ac:dyDescent="0.25">
      <c r="A32" s="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x14ac:dyDescent="0.25">
      <c r="A33" s="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x14ac:dyDescent="0.25">
      <c r="A34" s="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x14ac:dyDescent="0.25">
      <c r="A35" s="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x14ac:dyDescent="0.25">
      <c r="A36" s="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x14ac:dyDescent="0.25">
      <c r="A37" s="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15" x14ac:dyDescent="0.25">
      <c r="A38" s="4"/>
      <c r="B38" s="700" t="s">
        <v>149</v>
      </c>
      <c r="C38" s="700"/>
      <c r="D38" s="17"/>
      <c r="E38" s="17"/>
      <c r="F38" s="17"/>
      <c r="G38" s="700" t="s">
        <v>153</v>
      </c>
      <c r="H38" s="700"/>
      <c r="I38" s="700"/>
      <c r="J38" s="17"/>
      <c r="K38" s="17"/>
      <c r="L38" s="700" t="s">
        <v>157</v>
      </c>
      <c r="M38" s="700"/>
      <c r="N38" s="700"/>
      <c r="O38" s="700"/>
    </row>
    <row r="39" spans="1:15" x14ac:dyDescent="0.25">
      <c r="A39" s="4"/>
      <c r="B39" s="20"/>
      <c r="C39" s="20"/>
      <c r="D39" s="17"/>
      <c r="E39" s="17"/>
      <c r="F39" s="17"/>
      <c r="G39" s="700" t="s">
        <v>165</v>
      </c>
      <c r="H39" s="700"/>
      <c r="I39" s="700"/>
      <c r="J39" s="17"/>
      <c r="K39" s="17"/>
      <c r="L39" s="700" t="s">
        <v>167</v>
      </c>
      <c r="M39" s="700"/>
      <c r="N39" s="700"/>
      <c r="O39" s="17"/>
    </row>
    <row r="40" spans="1:15" x14ac:dyDescent="0.25">
      <c r="A40" s="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</row>
    <row r="41" spans="1:15" ht="14.5" x14ac:dyDescent="0.25">
      <c r="A41" s="4"/>
      <c r="B41" s="702" t="s">
        <v>181</v>
      </c>
      <c r="C41" s="702"/>
      <c r="D41" s="702"/>
      <c r="E41" s="702"/>
      <c r="F41" s="17"/>
      <c r="G41" s="700" t="s">
        <v>178</v>
      </c>
      <c r="H41" s="700"/>
      <c r="I41" s="700"/>
      <c r="J41" s="17"/>
      <c r="K41" s="17"/>
      <c r="L41" s="700" t="s">
        <v>170</v>
      </c>
      <c r="M41" s="700"/>
      <c r="N41" s="700"/>
      <c r="O41" s="17"/>
    </row>
    <row r="42" spans="1:15" ht="13" x14ac:dyDescent="0.3">
      <c r="A42" s="4"/>
      <c r="B42" s="20"/>
      <c r="C42" s="20"/>
      <c r="D42" s="21"/>
      <c r="E42" s="17"/>
      <c r="F42" s="17"/>
      <c r="G42" s="20"/>
      <c r="H42" s="20"/>
      <c r="I42" s="21"/>
      <c r="J42" s="17"/>
      <c r="K42" s="17"/>
      <c r="L42" s="17"/>
      <c r="M42" s="17"/>
      <c r="N42" s="17"/>
      <c r="O42" s="17"/>
    </row>
    <row r="43" spans="1:15" ht="14.5" x14ac:dyDescent="0.25">
      <c r="A43" s="4"/>
      <c r="B43" s="700" t="s">
        <v>182</v>
      </c>
      <c r="C43" s="700"/>
      <c r="D43" s="700"/>
      <c r="E43" s="700"/>
      <c r="F43" s="17"/>
      <c r="G43" s="700" t="s">
        <v>182</v>
      </c>
      <c r="H43" s="700"/>
      <c r="I43" s="700"/>
      <c r="J43" s="17"/>
      <c r="K43" s="17"/>
      <c r="L43" s="700" t="s">
        <v>175</v>
      </c>
      <c r="M43" s="700"/>
      <c r="N43" s="700"/>
      <c r="O43" s="17"/>
    </row>
    <row r="44" spans="1:15" ht="13" x14ac:dyDescent="0.3">
      <c r="A44" s="4"/>
      <c r="B44" s="20"/>
      <c r="C44" s="20"/>
      <c r="D44" s="21"/>
      <c r="E44" s="17"/>
      <c r="F44" s="17"/>
      <c r="G44" s="20"/>
      <c r="H44" s="20"/>
      <c r="I44" s="21"/>
      <c r="J44" s="17"/>
      <c r="K44" s="17"/>
      <c r="L44" s="17"/>
      <c r="M44" s="17"/>
      <c r="N44" s="17"/>
      <c r="O44" s="17"/>
    </row>
    <row r="45" spans="1:15" x14ac:dyDescent="0.25">
      <c r="A45" s="4"/>
      <c r="B45" s="700" t="s">
        <v>176</v>
      </c>
      <c r="C45" s="700"/>
      <c r="D45" s="700"/>
      <c r="E45" s="700"/>
      <c r="F45" s="17"/>
      <c r="G45" s="700" t="s">
        <v>175</v>
      </c>
      <c r="H45" s="700"/>
      <c r="I45" s="700"/>
      <c r="J45" s="17"/>
      <c r="K45" s="17"/>
      <c r="L45" s="17"/>
      <c r="M45" s="17"/>
      <c r="N45" s="17"/>
      <c r="O45" s="17"/>
    </row>
  </sheetData>
  <sheetProtection password="DEE8" sheet="1" objects="1" scenarios="1"/>
  <customSheetViews>
    <customSheetView guid="{ADCFDDAA-AF71-42CE-8FD7-7ABB67CB940B}" showPageBreaks="1" printArea="1" view="pageBreakPreview">
      <selection activeCell="M40" sqref="M40"/>
      <pageMargins left="0" right="0" top="0" bottom="0" header="0" footer="0"/>
      <printOptions horizontalCentered="1" verticalCentered="1"/>
      <pageSetup scale="75" orientation="landscape" horizontalDpi="300" verticalDpi="300" r:id="rId1"/>
      <headerFooter alignWithMargins="0"/>
    </customSheetView>
  </customSheetViews>
  <mergeCells count="24">
    <mergeCell ref="B45:E45"/>
    <mergeCell ref="B38:C38"/>
    <mergeCell ref="G38:I38"/>
    <mergeCell ref="G39:I39"/>
    <mergeCell ref="B27:E27"/>
    <mergeCell ref="G41:I41"/>
    <mergeCell ref="B41:E41"/>
    <mergeCell ref="B43:E43"/>
    <mergeCell ref="G43:I43"/>
    <mergeCell ref="B4:C4"/>
    <mergeCell ref="B18:C18"/>
    <mergeCell ref="G22:I22"/>
    <mergeCell ref="G24:I24"/>
    <mergeCell ref="B24:D24"/>
    <mergeCell ref="G20:I20"/>
    <mergeCell ref="B20:D20"/>
    <mergeCell ref="B22:D22"/>
    <mergeCell ref="L38:O38"/>
    <mergeCell ref="L20:N20"/>
    <mergeCell ref="L22:N22"/>
    <mergeCell ref="L39:N39"/>
    <mergeCell ref="G45:I45"/>
    <mergeCell ref="L41:N41"/>
    <mergeCell ref="L43:N43"/>
  </mergeCells>
  <phoneticPr fontId="0" type="noConversion"/>
  <printOptions horizontalCentered="1"/>
  <pageMargins left="0" right="0" top="0" bottom="0" header="0" footer="0"/>
  <pageSetup paperSize="9" scale="90" orientation="landscape" horizontalDpi="300" verticalDpi="300" r:id="rId2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N71"/>
  <sheetViews>
    <sheetView view="pageBreakPreview" zoomScale="75" zoomScaleNormal="100" zoomScaleSheetLayoutView="75" workbookViewId="0">
      <selection activeCell="D20" sqref="D20:H20"/>
    </sheetView>
  </sheetViews>
  <sheetFormatPr defaultColWidth="9.1796875" defaultRowHeight="12.5" x14ac:dyDescent="0.25"/>
  <cols>
    <col min="1" max="1" width="9.1796875" style="18"/>
    <col min="2" max="2" width="10.7265625" style="18" customWidth="1"/>
    <col min="3" max="13" width="9.1796875" style="18"/>
    <col min="14" max="14" width="11" style="18" customWidth="1"/>
    <col min="15" max="16384" width="9.1796875" style="18"/>
  </cols>
  <sheetData>
    <row r="1" spans="1:14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3" x14ac:dyDescent="0.3">
      <c r="A6" s="701" t="s">
        <v>146</v>
      </c>
      <c r="B6" s="701"/>
      <c r="C6" s="17"/>
      <c r="D6" s="17"/>
      <c r="E6" s="17"/>
      <c r="F6" s="17"/>
      <c r="G6" s="17"/>
      <c r="H6" s="17"/>
      <c r="I6" s="17"/>
      <c r="J6" s="17" t="s">
        <v>147</v>
      </c>
      <c r="K6" s="17"/>
      <c r="L6" s="17"/>
      <c r="M6" s="17"/>
      <c r="N6" s="17"/>
    </row>
    <row r="7" spans="1:14" ht="13" x14ac:dyDescent="0.3">
      <c r="A7" s="19"/>
      <c r="B7" s="19"/>
      <c r="C7" s="17"/>
      <c r="D7" s="17"/>
      <c r="E7" s="17"/>
      <c r="F7" s="17"/>
      <c r="G7" s="17"/>
      <c r="H7" s="17"/>
      <c r="I7" s="17"/>
      <c r="J7" s="17"/>
      <c r="K7" s="17" t="s">
        <v>148</v>
      </c>
      <c r="L7" s="17"/>
      <c r="M7" s="17"/>
      <c r="N7" s="17"/>
    </row>
    <row r="8" spans="1:14" ht="13" x14ac:dyDescent="0.3">
      <c r="A8" s="700" t="s">
        <v>149</v>
      </c>
      <c r="B8" s="700"/>
      <c r="C8" s="21"/>
      <c r="D8" s="702" t="s">
        <v>150</v>
      </c>
      <c r="E8" s="702"/>
      <c r="F8" s="702"/>
      <c r="G8" s="702"/>
      <c r="H8" s="22"/>
      <c r="I8" s="17"/>
      <c r="J8" s="17"/>
      <c r="K8" s="17" t="s">
        <v>151</v>
      </c>
      <c r="L8" s="17"/>
      <c r="M8" s="17"/>
      <c r="N8" s="17"/>
    </row>
    <row r="9" spans="1:14" ht="12" customHeight="1" x14ac:dyDescent="0.25">
      <c r="A9" s="17"/>
      <c r="B9" s="22"/>
      <c r="C9" s="22"/>
      <c r="D9" s="22"/>
      <c r="E9" s="23"/>
      <c r="F9" s="23"/>
      <c r="G9" s="22"/>
      <c r="H9" s="22"/>
      <c r="I9" s="17"/>
      <c r="J9" s="17"/>
      <c r="K9" s="17" t="s">
        <v>152</v>
      </c>
      <c r="L9" s="17"/>
      <c r="M9" s="17"/>
      <c r="N9" s="17"/>
    </row>
    <row r="10" spans="1:14" x14ac:dyDescent="0.25">
      <c r="A10" s="700" t="s">
        <v>153</v>
      </c>
      <c r="B10" s="700"/>
      <c r="C10" s="700"/>
      <c r="D10" s="702" t="s">
        <v>154</v>
      </c>
      <c r="E10" s="702"/>
      <c r="F10" s="702"/>
      <c r="G10" s="702"/>
      <c r="H10" s="702"/>
      <c r="I10" s="702"/>
      <c r="J10" s="17"/>
      <c r="K10" s="17" t="s">
        <v>155</v>
      </c>
      <c r="L10" s="17"/>
      <c r="M10" s="17"/>
      <c r="N10" s="17"/>
    </row>
    <row r="11" spans="1:14" ht="11.25" customHeight="1" x14ac:dyDescent="0.35">
      <c r="A11" s="17"/>
      <c r="B11" s="24"/>
      <c r="C11" s="24"/>
      <c r="D11" s="24"/>
      <c r="E11" s="23"/>
      <c r="F11" s="23"/>
      <c r="G11" s="23"/>
      <c r="H11" s="24"/>
      <c r="I11" s="17"/>
      <c r="J11" s="17"/>
      <c r="K11" s="17" t="s">
        <v>156</v>
      </c>
      <c r="L11" s="17"/>
      <c r="M11" s="17"/>
      <c r="N11" s="17"/>
    </row>
    <row r="12" spans="1:14" ht="14.5" x14ac:dyDescent="0.25">
      <c r="A12" s="700" t="s">
        <v>157</v>
      </c>
      <c r="B12" s="700"/>
      <c r="C12" s="700"/>
      <c r="D12" s="702" t="s">
        <v>158</v>
      </c>
      <c r="E12" s="702"/>
      <c r="F12" s="702"/>
      <c r="G12" s="702"/>
      <c r="H12" s="702"/>
      <c r="I12" s="17"/>
      <c r="J12" s="17"/>
      <c r="K12" s="17" t="s">
        <v>169</v>
      </c>
      <c r="L12" s="17"/>
      <c r="M12" s="17"/>
      <c r="N12" s="17"/>
    </row>
    <row r="13" spans="1:14" ht="12" customHeight="1" x14ac:dyDescent="0.25">
      <c r="A13" s="17"/>
      <c r="B13" s="17"/>
      <c r="C13" s="17"/>
      <c r="D13" s="17"/>
      <c r="E13" s="23"/>
      <c r="F13" s="23"/>
      <c r="G13" s="23"/>
      <c r="H13" s="17"/>
      <c r="I13" s="17"/>
      <c r="J13" s="17"/>
      <c r="K13" s="17" t="s">
        <v>159</v>
      </c>
      <c r="L13" s="17"/>
      <c r="M13" s="17"/>
      <c r="N13" s="17"/>
    </row>
    <row r="14" spans="1:14" ht="13" x14ac:dyDescent="0.3">
      <c r="A14" s="701" t="s">
        <v>160</v>
      </c>
      <c r="B14" s="701"/>
      <c r="C14" s="701"/>
      <c r="D14" s="701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</row>
    <row r="16" spans="1:14" x14ac:dyDescent="0.25">
      <c r="A16" s="20" t="s">
        <v>149</v>
      </c>
      <c r="B16" s="17"/>
      <c r="C16" s="17"/>
      <c r="D16" s="702" t="s">
        <v>161</v>
      </c>
      <c r="E16" s="702"/>
      <c r="F16" s="702"/>
      <c r="G16" s="702"/>
      <c r="H16" s="17"/>
      <c r="I16" s="17"/>
      <c r="J16" s="17"/>
      <c r="K16" s="17"/>
      <c r="L16" s="17"/>
      <c r="M16" s="17"/>
      <c r="N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</row>
    <row r="18" spans="1:14" x14ac:dyDescent="0.25">
      <c r="A18" s="700" t="s">
        <v>153</v>
      </c>
      <c r="B18" s="700"/>
      <c r="C18" s="700"/>
      <c r="D18" s="702" t="s">
        <v>162</v>
      </c>
      <c r="E18" s="702"/>
      <c r="F18" s="702"/>
      <c r="G18" s="702"/>
      <c r="H18" s="702"/>
      <c r="I18" s="702"/>
      <c r="J18" s="17"/>
      <c r="K18" s="17"/>
      <c r="L18" s="17"/>
      <c r="M18" s="17"/>
      <c r="N18" s="17"/>
    </row>
    <row r="19" spans="1:14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</row>
    <row r="20" spans="1:14" x14ac:dyDescent="0.25">
      <c r="A20" s="700" t="s">
        <v>157</v>
      </c>
      <c r="B20" s="700"/>
      <c r="C20" s="700"/>
      <c r="D20" s="702" t="s">
        <v>163</v>
      </c>
      <c r="E20" s="702"/>
      <c r="F20" s="702"/>
      <c r="G20" s="702"/>
      <c r="H20" s="702"/>
      <c r="I20" s="17"/>
      <c r="J20" s="17"/>
      <c r="K20" s="17"/>
      <c r="L20" s="17"/>
      <c r="M20" s="17"/>
      <c r="N20" s="17"/>
    </row>
    <row r="21" spans="1:14" ht="12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</row>
    <row r="22" spans="1:14" ht="13" x14ac:dyDescent="0.3">
      <c r="A22" s="701" t="s">
        <v>164</v>
      </c>
      <c r="B22" s="701"/>
      <c r="C22" s="701"/>
      <c r="D22" s="701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4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14" x14ac:dyDescent="0.25">
      <c r="A24" s="700" t="s">
        <v>165</v>
      </c>
      <c r="B24" s="700"/>
      <c r="C24" s="700"/>
      <c r="D24" s="702" t="s">
        <v>166</v>
      </c>
      <c r="E24" s="702"/>
      <c r="F24" s="702"/>
      <c r="G24" s="702"/>
      <c r="H24" s="702"/>
      <c r="I24" s="702"/>
      <c r="J24" s="17"/>
      <c r="K24" s="17"/>
      <c r="L24" s="17"/>
      <c r="M24" s="17"/>
      <c r="N24" s="17"/>
    </row>
    <row r="25" spans="1:1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x14ac:dyDescent="0.25">
      <c r="A26" s="700" t="s">
        <v>167</v>
      </c>
      <c r="B26" s="700"/>
      <c r="C26" s="700"/>
      <c r="D26" s="702" t="s">
        <v>168</v>
      </c>
      <c r="E26" s="702"/>
      <c r="F26" s="702"/>
      <c r="G26" s="702"/>
      <c r="H26" s="702"/>
      <c r="I26" s="17"/>
      <c r="J26" s="17"/>
      <c r="K26" s="17"/>
      <c r="L26" s="17"/>
      <c r="M26" s="17"/>
      <c r="N26" s="17"/>
    </row>
    <row r="27" spans="1:1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36" ht="9" customHeight="1" x14ac:dyDescent="0.25"/>
    <row r="38" ht="9" customHeight="1" x14ac:dyDescent="0.25"/>
    <row r="40" ht="9.75" customHeight="1" x14ac:dyDescent="0.25"/>
    <row r="44" ht="7.5" customHeight="1" x14ac:dyDescent="0.25"/>
    <row r="46" ht="7.5" customHeight="1" x14ac:dyDescent="0.25"/>
    <row r="48" ht="7.5" customHeight="1" x14ac:dyDescent="0.25"/>
    <row r="50" ht="7.5" customHeight="1" x14ac:dyDescent="0.25"/>
    <row r="67" ht="7.5" customHeight="1" x14ac:dyDescent="0.25"/>
    <row r="69" ht="7.5" customHeight="1" x14ac:dyDescent="0.25"/>
    <row r="71" ht="6.75" customHeight="1" x14ac:dyDescent="0.25"/>
  </sheetData>
  <sheetProtection password="DEE8" sheet="1" objects="1" scenarios="1"/>
  <customSheetViews>
    <customSheetView guid="{ADCFDDAA-AF71-42CE-8FD7-7ABB67CB940B}" scale="75" showPageBreaks="1" printArea="1" view="pageBreakPreview">
      <selection activeCell="M40" sqref="M40"/>
      <rowBreaks count="1" manualBreakCount="1">
        <brk id="27" max="13" man="1"/>
      </rowBreaks>
      <pageMargins left="0" right="0" top="0" bottom="0" header="0" footer="0"/>
      <printOptions horizontalCentered="1" verticalCentered="1"/>
      <pageSetup paperSize="9" orientation="landscape" horizontalDpi="4294967293" verticalDpi="300" r:id="rId1"/>
      <headerFooter alignWithMargins="0"/>
    </customSheetView>
  </customSheetViews>
  <mergeCells count="18">
    <mergeCell ref="A24:C24"/>
    <mergeCell ref="A26:C26"/>
    <mergeCell ref="D26:H26"/>
    <mergeCell ref="D24:I24"/>
    <mergeCell ref="A18:C18"/>
    <mergeCell ref="A20:C20"/>
    <mergeCell ref="D16:G16"/>
    <mergeCell ref="D18:I18"/>
    <mergeCell ref="D20:H20"/>
    <mergeCell ref="A22:D22"/>
    <mergeCell ref="A6:B6"/>
    <mergeCell ref="D8:G8"/>
    <mergeCell ref="D10:I10"/>
    <mergeCell ref="D12:H12"/>
    <mergeCell ref="A14:D14"/>
    <mergeCell ref="A8:B8"/>
    <mergeCell ref="A12:C12"/>
    <mergeCell ref="A10:C10"/>
  </mergeCells>
  <phoneticPr fontId="0" type="noConversion"/>
  <printOptions horizontalCentered="1"/>
  <pageMargins left="0" right="0" top="0" bottom="0" header="0" footer="0"/>
  <pageSetup paperSize="9" scale="110" orientation="landscape" horizontalDpi="4294967293" verticalDpi="300" r:id="rId2"/>
  <headerFooter alignWithMargins="0"/>
  <rowBreaks count="1" manualBreakCount="1">
    <brk id="27" max="13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16</vt:i4>
      </vt:variant>
    </vt:vector>
  </HeadingPairs>
  <TitlesOfParts>
    <vt:vector size="27" baseType="lpstr">
      <vt:lpstr>Capa</vt:lpstr>
      <vt:lpstr>BT</vt:lpstr>
      <vt:lpstr>BT-MX</vt:lpstr>
      <vt:lpstr>mT</vt:lpstr>
      <vt:lpstr>K% (Rede Convencional)</vt:lpstr>
      <vt:lpstr>Características dos Cabos</vt:lpstr>
      <vt:lpstr>Características dos Cabos MX</vt:lpstr>
      <vt:lpstr>e.e.</vt:lpstr>
      <vt:lpstr>Fórmulas</vt:lpstr>
      <vt:lpstr>Sheet2</vt:lpstr>
      <vt:lpstr>Procedimento</vt:lpstr>
      <vt:lpstr>BT!Area_de_impressao</vt:lpstr>
      <vt:lpstr>'BT-MX'!Area_de_impressao</vt:lpstr>
      <vt:lpstr>Capa!Area_de_impressao</vt:lpstr>
      <vt:lpstr>'Características dos Cabos'!Area_de_impressao</vt:lpstr>
      <vt:lpstr>'Características dos Cabos MX'!Area_de_impressao</vt:lpstr>
      <vt:lpstr>e.e.!Area_de_impressao</vt:lpstr>
      <vt:lpstr>Fórmulas!Area_de_impressao</vt:lpstr>
      <vt:lpstr>'K% (Rede Convencional)'!Area_de_impressao</vt:lpstr>
      <vt:lpstr>mT!Area_de_impressao</vt:lpstr>
      <vt:lpstr>Descrição</vt:lpstr>
      <vt:lpstr>Duplex</vt:lpstr>
      <vt:lpstr>Quadruplex</vt:lpstr>
      <vt:lpstr>BT!Titulos_de_impressao</vt:lpstr>
      <vt:lpstr>'BT-MX'!Titulos_de_impressao</vt:lpstr>
      <vt:lpstr>mT!Titulos_de_impressao</vt:lpstr>
      <vt:lpstr>Triplex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Da Silva Vieira</dc:creator>
  <cp:lastModifiedBy>Equatorial</cp:lastModifiedBy>
  <cp:lastPrinted>2014-10-26T00:49:13Z</cp:lastPrinted>
  <dcterms:created xsi:type="dcterms:W3CDTF">1998-10-17T20:49:47Z</dcterms:created>
  <dcterms:modified xsi:type="dcterms:W3CDTF">2023-04-07T01:20:47Z</dcterms:modified>
</cp:coreProperties>
</file>