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updateLinks="never"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Nota Técnica - NT.00002 - Atendimento MT\Texto\"/>
    </mc:Choice>
  </mc:AlternateContent>
  <xr:revisionPtr revIDLastSave="0" documentId="13_ncr:1_{78076C2E-DAD2-4DE4-B2F0-BCFDC8E8570F}" xr6:coauthVersionLast="47" xr6:coauthVersionMax="47" xr10:uidLastSave="{00000000-0000-0000-0000-000000000000}"/>
  <bookViews>
    <workbookView xWindow="20370" yWindow="-120" windowWidth="24240" windowHeight="13020" tabRatio="457" activeTab="1" xr2:uid="{00000000-000D-0000-FFFF-FFFF00000000}"/>
  </bookViews>
  <sheets>
    <sheet name="QUADRO DE CARGAS" sheetId="4" r:id="rId1"/>
    <sheet name="SE AÉREA" sheetId="6" r:id="rId2"/>
    <sheet name="GERAL" sheetId="7" state="hidden" r:id="rId3"/>
    <sheet name="CÁLCULOS" sheetId="5" state="hidden" r:id="rId4"/>
    <sheet name="TAB 02" sheetId="8" state="hidden" r:id="rId5"/>
    <sheet name="TAB 03" sheetId="9" state="hidden" r:id="rId6"/>
    <sheet name="TAB 04" sheetId="10" state="hidden" r:id="rId7"/>
    <sheet name="TAB 19" sheetId="11" state="hidden" r:id="rId8"/>
    <sheet name="TAB 25" sheetId="13" state="hidden" r:id="rId9"/>
    <sheet name="Para Raios" sheetId="12" state="hidden" r:id="rId10"/>
  </sheets>
  <externalReferences>
    <externalReference r:id="rId11"/>
  </externalReferences>
  <definedNames>
    <definedName name="a0" localSheetId="9">[1]Cálculo!#REF!</definedName>
    <definedName name="a0">'SE AÉREA'!#REF!</definedName>
    <definedName name="_xlnm.Print_Area" localSheetId="3">CÁLCULOS!$B$7:$K$28</definedName>
    <definedName name="_xlnm.Print_Area" localSheetId="0">'QUADRO DE CARGAS'!$A$1:$O$60</definedName>
    <definedName name="_xlnm.Print_Area" localSheetId="1">'SE AÉREA'!$A$1:$R$147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" i="4"/>
  <c r="J5" i="4" s="1"/>
  <c r="H5" i="4" l="1"/>
  <c r="K5" i="4" s="1"/>
  <c r="C116" i="6" l="1"/>
  <c r="E116" i="6" l="1"/>
  <c r="K54" i="4" l="1"/>
  <c r="B142" i="6"/>
  <c r="K32" i="4" l="1"/>
  <c r="K39" i="4"/>
  <c r="K40" i="4"/>
  <c r="K47" i="4"/>
  <c r="K48" i="4"/>
  <c r="K34" i="4"/>
  <c r="K35" i="4"/>
  <c r="K36" i="4"/>
  <c r="K38" i="4"/>
  <c r="K42" i="4"/>
  <c r="K43" i="4"/>
  <c r="K44" i="4"/>
  <c r="K46" i="4"/>
  <c r="K50" i="4"/>
  <c r="K51" i="4"/>
  <c r="K52" i="4"/>
  <c r="F55" i="4"/>
  <c r="J55" i="4"/>
  <c r="H55" i="4"/>
  <c r="K55" i="4"/>
  <c r="C137" i="6"/>
  <c r="E135" i="6"/>
  <c r="C135" i="6"/>
  <c r="K6" i="4"/>
  <c r="K7" i="4"/>
  <c r="K9" i="4"/>
  <c r="K10" i="4"/>
  <c r="K11" i="4"/>
  <c r="K13" i="4"/>
  <c r="K15" i="4"/>
  <c r="K17" i="4"/>
  <c r="K19" i="4"/>
  <c r="K21" i="4"/>
  <c r="K23" i="4"/>
  <c r="K25" i="4"/>
  <c r="K27" i="4"/>
  <c r="K29" i="4"/>
  <c r="K31" i="4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AO187" i="6"/>
  <c r="AO186" i="6"/>
  <c r="AO185" i="6"/>
  <c r="AO184" i="6"/>
  <c r="AO183" i="6"/>
  <c r="AO182" i="6"/>
  <c r="B90" i="6"/>
  <c r="F89" i="6"/>
  <c r="C89" i="6"/>
  <c r="B89" i="6" s="1"/>
  <c r="C87" i="6"/>
  <c r="C81" i="6"/>
  <c r="H78" i="6" s="1"/>
  <c r="I87" i="6" s="1"/>
  <c r="C77" i="6"/>
  <c r="C76" i="6"/>
  <c r="C75" i="6"/>
  <c r="B75" i="6"/>
  <c r="F4" i="5"/>
  <c r="F3" i="5"/>
  <c r="K30" i="4" l="1"/>
  <c r="K28" i="4"/>
  <c r="K26" i="4"/>
  <c r="K24" i="4"/>
  <c r="K22" i="4"/>
  <c r="K20" i="4"/>
  <c r="K18" i="4"/>
  <c r="K16" i="4"/>
  <c r="K14" i="4"/>
  <c r="K12" i="4"/>
  <c r="K8" i="4"/>
  <c r="K53" i="4"/>
  <c r="K49" i="4"/>
  <c r="K45" i="4"/>
  <c r="K41" i="4"/>
  <c r="K37" i="4"/>
  <c r="K33" i="4"/>
  <c r="F56" i="4"/>
  <c r="G87" i="6"/>
  <c r="H90" i="6" s="1"/>
  <c r="K56" i="4" l="1"/>
  <c r="K2" i="5" s="1"/>
  <c r="C13" i="5" s="1"/>
  <c r="J56" i="4"/>
  <c r="J2" i="5" s="1"/>
  <c r="C23" i="5" s="1"/>
  <c r="D19" i="6"/>
  <c r="H56" i="4"/>
  <c r="F2" i="5"/>
  <c r="C22" i="5" s="1"/>
  <c r="D15" i="5" l="1"/>
  <c r="B35" i="6"/>
  <c r="C34" i="6"/>
  <c r="C97" i="6" s="1"/>
  <c r="E104" i="6" s="1"/>
  <c r="C19" i="6"/>
  <c r="F59" i="4"/>
  <c r="C27" i="6" s="1"/>
  <c r="H2" i="5"/>
  <c r="C36" i="6" l="1"/>
  <c r="D123" i="6" s="1"/>
  <c r="G37" i="6"/>
  <c r="B70" i="6"/>
  <c r="C61" i="6"/>
  <c r="H128" i="6" s="1"/>
  <c r="C70" i="6"/>
  <c r="C59" i="6"/>
  <c r="D64" i="6"/>
  <c r="G122" i="6" s="1"/>
  <c r="E63" i="6"/>
  <c r="F133" i="6" s="1"/>
  <c r="D21" i="6"/>
  <c r="C21" i="6"/>
  <c r="F5" i="5"/>
  <c r="C24" i="5" s="1"/>
  <c r="C28" i="6"/>
  <c r="D51" i="6" l="1"/>
  <c r="C123" i="6" s="1"/>
  <c r="D53" i="6"/>
  <c r="B123" i="6" s="1"/>
  <c r="G41" i="6"/>
  <c r="G138" i="6" s="1"/>
  <c r="F138" i="6"/>
  <c r="E40" i="6"/>
  <c r="C26" i="5"/>
  <c r="C3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Teixeira Carrera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DESCREVER CARGAS: ILUMINAÇÃO, TOMADAS DE USO GERAL, TOMADAS ESPECÍFICAS, MOTORES, MÁQUINAS DE SOLDA, APARELHOS HOSPITALARES E ETC</t>
        </r>
      </text>
    </comment>
    <comment ref="D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QUANTIDADE DE EQUIPAMENTOS POR TIPO DE 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CI (kW) = Pot * Quant</t>
        </r>
      </text>
    </comment>
    <comment ref="G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Teixeira Carrera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FATOR DE POTÊNCIA DE REFERÊNCIA</t>
        </r>
      </text>
    </comment>
    <comment ref="F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 FPmédio = CI Total (kW)/ CI Total (kVA)</t>
        </r>
      </text>
    </comment>
    <comment ref="D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CONFORME TABELA AO LADO</t>
        </r>
      </text>
    </comment>
  </commentList>
</comments>
</file>

<file path=xl/sharedStrings.xml><?xml version="1.0" encoding="utf-8"?>
<sst xmlns="http://schemas.openxmlformats.org/spreadsheetml/2006/main" count="607" uniqueCount="322">
  <si>
    <t>QUADRO DE CARGAS PARA CÁLCULO PRELIMINAR DA CARGA INSTALADA E DA DEMANDA ¹</t>
  </si>
  <si>
    <t>OBS: Preencher somente campos em branco</t>
  </si>
  <si>
    <t>Item</t>
  </si>
  <si>
    <t>Descrição</t>
  </si>
  <si>
    <t>Qtd</t>
  </si>
  <si>
    <t>Potência (kW)</t>
  </si>
  <si>
    <t>Carga Instalada  (kW)</t>
  </si>
  <si>
    <t>FP</t>
  </si>
  <si>
    <t>Carga Instalada (kVA)</t>
  </si>
  <si>
    <t>FD</t>
  </si>
  <si>
    <t>Demanda (kW)</t>
  </si>
  <si>
    <t>Demanda (kVA)</t>
  </si>
  <si>
    <t>TOTAL</t>
  </si>
  <si>
    <t>FATOR DE DEMANDA DA ATIVIDADE</t>
  </si>
  <si>
    <t>FATOR DE POTÊNCIA DE REFERÊNCIA</t>
  </si>
  <si>
    <t xml:space="preserve">FATOR DE POTÊNCIA MÉDIO DA INSTALAÇÃO </t>
  </si>
  <si>
    <t>¹ Os cálculos definitivos devem seguir conforme projeto elétrico realizado por profissional devidamente habilitado.</t>
  </si>
  <si>
    <r>
      <t xml:space="preserve">                  </t>
    </r>
    <r>
      <rPr>
        <b/>
        <sz val="10"/>
        <color theme="3" tint="-0.499984740745262"/>
        <rFont val="Arial Black"/>
        <family val="2"/>
      </rPr>
      <t xml:space="preserve">                 CÁLCULO E PARÂMETROS PRELIMINARES DE DIMENSIONAMENTO DE SUBESTAÇÃO AEREA ¹</t>
    </r>
  </si>
  <si>
    <t>PARÂMETROS DE ENTRADA</t>
  </si>
  <si>
    <t>I - DADOS DO CLIENTE</t>
  </si>
  <si>
    <t>Nome Cliente</t>
  </si>
  <si>
    <t xml:space="preserve">Endereço </t>
  </si>
  <si>
    <t>380/220</t>
  </si>
  <si>
    <t>220/127</t>
  </si>
  <si>
    <t xml:space="preserve">Contatos </t>
  </si>
  <si>
    <t>Especifique as tensões primárias e secundárias</t>
  </si>
  <si>
    <t>Tensão Primária</t>
  </si>
  <si>
    <t>kV</t>
  </si>
  <si>
    <t>Tensão Secundário</t>
  </si>
  <si>
    <t>V</t>
  </si>
  <si>
    <t>Carga Instalada</t>
  </si>
  <si>
    <t>Preencha o Quadro de Cargas com seus respectivos valores na aba "QUADRO DE CARGAS"</t>
  </si>
  <si>
    <t>Demanda</t>
  </si>
  <si>
    <t>Tipo do Eletroduto</t>
  </si>
  <si>
    <t>AÇO GALVANIZADO</t>
  </si>
  <si>
    <t>Tabela 25 - NT.002</t>
  </si>
  <si>
    <t>II - CORREÇÃO DE EXCEDENTE REATIVO - CÁLCULO DE CAPACITOR</t>
  </si>
  <si>
    <t>Fator de Potência Médio</t>
  </si>
  <si>
    <t>Fator de Potência Referência</t>
  </si>
  <si>
    <t>Potência reativa do (s) Banco (s) de Capacitor (es) para correção do fator de potência</t>
  </si>
  <si>
    <t>kVAr</t>
  </si>
  <si>
    <t>Tabela 4 - NT.002</t>
  </si>
  <si>
    <t>III - CÁLCULO DO TRANSFORMADOR</t>
  </si>
  <si>
    <t>Transformador Recomendado</t>
  </si>
  <si>
    <t>POSTE (m)</t>
  </si>
  <si>
    <t>ESFORÇO (daN)</t>
  </si>
  <si>
    <t>Potência Mínima do Banco de Capacitores (kVAr) quando o transformador está operando a vazio ou com carga muito baixa</t>
  </si>
  <si>
    <t/>
  </si>
  <si>
    <t>NOTA: Deve ser projetado e dimensionado bancos de capacitores fixos instalados na baixa tensão para compensação do fator de potência quando o transformador está operando a vazio ou carga muito baixa.</t>
  </si>
  <si>
    <t>Tabela 2 - NT.002</t>
  </si>
  <si>
    <t>IV - CÁLCULO DO ELO FUSÍVEL</t>
  </si>
  <si>
    <t>Elo fusível recomendado para Transformador</t>
  </si>
  <si>
    <t>Elo fusível recomendado para Ponto de derivação</t>
  </si>
  <si>
    <t>NOTA: Não será utilizada chave fusível em transformador particular, salvo nas situações em que o ponto de derivação fique a uma distância superior a 30 m do ponto de entrega. A chave fusível é obrigatória em subestações localizadas em áreas classificadas como rurais.</t>
  </si>
  <si>
    <t>Tabelas 3 e 3A - NT.002</t>
  </si>
  <si>
    <t>V - DIMENSIONAMENTO DOS CIRCUITOS SECUNDÁRIO</t>
  </si>
  <si>
    <t>Corrente Secundária (A)</t>
  </si>
  <si>
    <t>A</t>
  </si>
  <si>
    <t>Disjuntor</t>
  </si>
  <si>
    <t>Cabos de cobre com isolação termofixa (XLPE) 0,6/1kV (mm²)</t>
  </si>
  <si>
    <t>Eletroduto de Aço Galvanizado com Diâmetro nominal mm (pol)</t>
  </si>
  <si>
    <t>Condutor de Aterramento</t>
  </si>
  <si>
    <t>Cobre (mm²)</t>
  </si>
  <si>
    <t>Aço Cobreado (AWG)</t>
  </si>
  <si>
    <t>Tabela 3 - NT.31.002.06</t>
  </si>
  <si>
    <t>VI - CÁLCULO DO ELETRODUTO</t>
  </si>
  <si>
    <t>Cabos</t>
  </si>
  <si>
    <t xml:space="preserve">Circuito por Eletroduto </t>
  </si>
  <si>
    <t>Circuitos</t>
  </si>
  <si>
    <t>Num mesmo Eletroduto</t>
  </si>
  <si>
    <t>mm</t>
  </si>
  <si>
    <t xml:space="preserve">                       n</t>
  </si>
  <si>
    <t>Número de cabos no Eletroduto</t>
  </si>
  <si>
    <t xml:space="preserve">                       t</t>
  </si>
  <si>
    <t>Taxa de ocupação do Eletroduto</t>
  </si>
  <si>
    <t>ELETRODUTO(s) DE</t>
  </si>
  <si>
    <t>PROTEÇÃO BT</t>
  </si>
  <si>
    <t>VI - CÁLCULO DO DISJUNTOR - sugestão</t>
  </si>
  <si>
    <t xml:space="preserve">            CORRENTE  </t>
  </si>
  <si>
    <t>DE ACORDO COM A CORRENTE ANTERIORMENTE CALCULADA O MÁXIMO VALOR PARA O DISJUNTOR TERMOMAGNÉTICO</t>
  </si>
  <si>
    <t>SERÁ</t>
  </si>
  <si>
    <r>
      <t>Obs:</t>
    </r>
    <r>
      <rPr>
        <sz val="10"/>
        <rFont val="Arial"/>
        <family val="2"/>
      </rPr>
      <t xml:space="preserve"> Dimensionar o Cabo após o Disjuntor com um valor coerente a ele, de acordo com a </t>
    </r>
    <r>
      <rPr>
        <b/>
        <sz val="10"/>
        <rFont val="Arial"/>
        <family val="2"/>
      </rPr>
      <t>NBR.5410</t>
    </r>
  </si>
  <si>
    <t>DIAGRAMA UNIFILAR</t>
  </si>
  <si>
    <t>VI - DIAGRAMA UNIFILAR DO POSTO DE TRANSFORMAÇÃO</t>
  </si>
  <si>
    <t>3 Pára-Raios MT</t>
  </si>
  <si>
    <t>3 Pára-Raios BT</t>
  </si>
  <si>
    <t>Eletroduto</t>
  </si>
  <si>
    <t>CABOS ISOLADO 0,6/1,0KV - 
XLPE, EPR ou HEPR 90° Proteção Anti-UV</t>
  </si>
  <si>
    <t>(mm²)</t>
  </si>
  <si>
    <t>REDE AÉREA EQUATORIAL</t>
  </si>
  <si>
    <t>KV</t>
  </si>
  <si>
    <t>ESFORÇO MÍNIMO (daN)</t>
  </si>
  <si>
    <t xml:space="preserve">NORMAS UTILIZADAS NA ELABORAÇÃO DESTA PLANILHA DE CÁLCULO NT.002.EQTL.Normas e Padrões / NBR5410 / NBR14039 </t>
  </si>
  <si>
    <t>CABOS ISOLADO 0,6/1,0KV - XLPE 90° PROTEÇÃO ANTI-UV</t>
  </si>
  <si>
    <t>CABOS ISOLADO 0,6/1,0KV - EPR 90° PROTEÇÃO ANTI-UV</t>
  </si>
  <si>
    <t>DOTD - Serviços da Distribuição Sudeste</t>
  </si>
  <si>
    <t>CABOS ISOLADO 0,6/1,0KV - HEPR 90° PROTEÇÃO ANTI-UV</t>
  </si>
  <si>
    <t>DODD - Serviços da Distribuição Nordeste</t>
  </si>
  <si>
    <t>DOLD - Serviços da Distribuição Noroeste</t>
  </si>
  <si>
    <t>DOBD - Serviços da Distribuição Baixada</t>
  </si>
  <si>
    <t>DOSD - Serviços da Distribuição Oeste</t>
  </si>
  <si>
    <t>DUTO</t>
  </si>
  <si>
    <t>tensão</t>
  </si>
  <si>
    <t>tensão (elos)</t>
  </si>
  <si>
    <t>taxa</t>
  </si>
  <si>
    <t>CORRÇÃO DE FP</t>
  </si>
  <si>
    <t>PVC RÍGIDO</t>
  </si>
  <si>
    <t>BANCO</t>
  </si>
  <si>
    <t>MÓDULO</t>
  </si>
  <si>
    <t>Cabos / Fase</t>
  </si>
  <si>
    <t>FATOR Y</t>
  </si>
  <si>
    <t>FATOR X</t>
  </si>
  <si>
    <t>CONDUTORES - TENSÃO DE ISOLAMENTO 450/750V - PVC 70°C</t>
  </si>
  <si>
    <t>Tabela C - Dimensionamento da capacidade do TF</t>
  </si>
  <si>
    <t>Transformador (kVA)</t>
  </si>
  <si>
    <t>Demanda a ser contratada (kW)</t>
  </si>
  <si>
    <t>Mínima</t>
  </si>
  <si>
    <t>Máxima</t>
  </si>
  <si>
    <t>Tabela D - Esforço e altura (poste duplo T)</t>
  </si>
  <si>
    <t>Poste Duplo T a ser utilizado</t>
  </si>
  <si>
    <t>Esforço (daN)</t>
  </si>
  <si>
    <t>Altura (m)</t>
  </si>
  <si>
    <t>Até 75</t>
  </si>
  <si>
    <t>300daN / 11m</t>
  </si>
  <si>
    <t>600daN / 11m</t>
  </si>
  <si>
    <t>800daN / 11m</t>
  </si>
  <si>
    <t>1.000daN / 11m</t>
  </si>
  <si>
    <t>Tabela F - BC fixo na baixa</t>
  </si>
  <si>
    <t>Potência Mínima do Banco de Capacitores (kVAr)</t>
  </si>
  <si>
    <t>TENSÃO MT</t>
  </si>
  <si>
    <t>TENSÃO BT</t>
  </si>
  <si>
    <t>METODOLOGIAS PARA CÁLCULO DA DEMANDA CONFORME NT.002:</t>
  </si>
  <si>
    <t>Demanda Calculada (kVA)</t>
  </si>
  <si>
    <t>Transformador Recomendado (kVA)</t>
  </si>
  <si>
    <t>60 a 82</t>
  </si>
  <si>
    <t>METODOLOGIA UTILIZADA</t>
  </si>
  <si>
    <t>83 a 124</t>
  </si>
  <si>
    <t>125 a 165</t>
  </si>
  <si>
    <t>D = Da + Db + Dc + Dd + De = D(kVA) Total da Planilha acima</t>
  </si>
  <si>
    <t>166 a 248</t>
  </si>
  <si>
    <t>249 a 330</t>
  </si>
  <si>
    <t>D (kVA)</t>
  </si>
  <si>
    <t xml:space="preserve">TRANSFORMADOR: </t>
  </si>
  <si>
    <t>kVA</t>
  </si>
  <si>
    <t>METODOLOGIA PARA CORREÇÃO DO FATOR DE POTÊNCIA CONFORME NT.002:</t>
  </si>
  <si>
    <t>QC (kVAr) = Q1 - Q2 = P (kW) * Δ tg φ = kW * [ tg (φ1) - tg (φ2) ] = kW * { tg [acos (FP1)] - tg [acos (FP2)] }</t>
  </si>
  <si>
    <t>CI (kW)</t>
  </si>
  <si>
    <t>D (kW)</t>
  </si>
  <si>
    <r>
      <rPr>
        <sz val="10"/>
        <color indexed="8"/>
        <rFont val="Calibri"/>
        <family val="2"/>
      </rPr>
      <t xml:space="preserve">Δ </t>
    </r>
    <r>
      <rPr>
        <sz val="10"/>
        <color indexed="8"/>
        <rFont val="Arial"/>
        <family val="2"/>
      </rPr>
      <t>tg φ</t>
    </r>
  </si>
  <si>
    <t>QC</t>
  </si>
  <si>
    <t>Pela carga instalada</t>
  </si>
  <si>
    <t xml:space="preserve">TABELA 2 – DIMENSIONAMENTO DE ELOS FUSÍVEIS </t>
  </si>
  <si>
    <t>Transformadores Monofásicos</t>
  </si>
  <si>
    <t>Potência (kVA)</t>
  </si>
  <si>
    <t>0,5H</t>
  </si>
  <si>
    <t>1H</t>
  </si>
  <si>
    <t>2H</t>
  </si>
  <si>
    <t>3H</t>
  </si>
  <si>
    <t>Transformadores Trifásicos</t>
  </si>
  <si>
    <t>13,8 kV</t>
  </si>
  <si>
    <t>34,5 kV</t>
  </si>
  <si>
    <t>13,8 kV para ramal</t>
  </si>
  <si>
    <t>23,1 KV</t>
  </si>
  <si>
    <t>Até 15</t>
  </si>
  <si>
    <t xml:space="preserve">      -  </t>
  </si>
  <si>
    <t xml:space="preserve">      -</t>
  </si>
  <si>
    <t>5H</t>
  </si>
  <si>
    <t>5K</t>
  </si>
  <si>
    <t>10K</t>
  </si>
  <si>
    <t>6K</t>
  </si>
  <si>
    <t>15K</t>
  </si>
  <si>
    <t>25K</t>
  </si>
  <si>
    <t>12K</t>
  </si>
  <si>
    <t>40K</t>
  </si>
  <si>
    <t>30K</t>
  </si>
  <si>
    <t>65K</t>
  </si>
  <si>
    <t>100K</t>
  </si>
  <si>
    <t>50K</t>
  </si>
  <si>
    <t>-</t>
  </si>
  <si>
    <t>TABELA 3 – DIMENSIONAMENTO DOS CIRCUITOS DE BAIXA TENSÃO – CEMAR</t>
  </si>
  <si>
    <t>TABELA 3A – DIMENSIONAMENTO DOS CIRCUITOS DE BAIXA TENSÃO – CELPA</t>
  </si>
  <si>
    <t>Tensão (V)</t>
  </si>
  <si>
    <t>Cabos de cobre com isolação termofixa (XLPE) 0,6/1kV</t>
  </si>
  <si>
    <t>Eletroduto de Aço Diâmetro nominal</t>
  </si>
  <si>
    <t>Cabos de Cobre com isolação termofixa (XLPE) 0,6/1kV (mm²)</t>
  </si>
  <si>
    <t xml:space="preserve">Eletroduto de Aço Diâmetro nominal </t>
  </si>
  <si>
    <t>Aterramento</t>
  </si>
  <si>
    <r>
      <t>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</si>
  <si>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mm (pol)</t>
  </si>
  <si>
    <t>Cobre</t>
  </si>
  <si>
    <t>Aço-cobreado</t>
  </si>
  <si>
    <r>
      <t>(mm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</si>
  <si>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t>(AWG)</t>
  </si>
  <si>
    <t>Aço-cobreado (AWG)</t>
  </si>
  <si>
    <t>1#6 (6)</t>
  </si>
  <si>
    <t>20 (3/4")</t>
  </si>
  <si>
    <t>1#16 (16)</t>
  </si>
  <si>
    <t>25 (1")</t>
  </si>
  <si>
    <t>1#10 (10)</t>
  </si>
  <si>
    <t>1#25 (25)</t>
  </si>
  <si>
    <t>32 (1 ¼")</t>
  </si>
  <si>
    <t>1#70 (35)</t>
  </si>
  <si>
    <t>40 ( 1 1/2")</t>
  </si>
  <si>
    <t>Potência</t>
  </si>
  <si>
    <t>Tensão</t>
  </si>
  <si>
    <t>Disjuntor (A)</t>
  </si>
  <si>
    <t>Cabos de cobre com isolação termofixa</t>
  </si>
  <si>
    <t xml:space="preserve">Eletroduto de Aço Diâmetro nominal  </t>
  </si>
  <si>
    <t>(kVA)</t>
  </si>
  <si>
    <t>(V)</t>
  </si>
  <si>
    <t>(XLPE) 0,6/1kV</t>
  </si>
  <si>
    <t>3#16 (16)</t>
  </si>
  <si>
    <t>50 (2")</t>
  </si>
  <si>
    <t>3#10 (10)</t>
  </si>
  <si>
    <t>3#35 (25)</t>
  </si>
  <si>
    <t>40 (1 ½ ")</t>
  </si>
  <si>
    <t>3#70 (35)</t>
  </si>
  <si>
    <t>65 (2 ½”)</t>
  </si>
  <si>
    <t>80 (3”)</t>
  </si>
  <si>
    <t>65 (2 ½)"</t>
  </si>
  <si>
    <t>1/0</t>
  </si>
  <si>
    <t>3#95 (50)</t>
  </si>
  <si>
    <t>3#150 (70)</t>
  </si>
  <si>
    <t>80 (3")</t>
  </si>
  <si>
    <t>Dimensionamento de Transformadores Particulares</t>
  </si>
  <si>
    <t>Demanda calculada KVA</t>
  </si>
  <si>
    <t>Trafo Recomendado</t>
  </si>
  <si>
    <t>DE</t>
  </si>
  <si>
    <t>ATÉ</t>
  </si>
  <si>
    <t>POTÊNCIA</t>
  </si>
  <si>
    <t>Alterar Apenas os Campos Destacados</t>
  </si>
  <si>
    <t>Espaço para inserir o Trafo verde</t>
  </si>
  <si>
    <t xml:space="preserve"> (medição em média Tensão)</t>
  </si>
  <si>
    <t>Materiais e Equipamentos para Instalações classe de Tensão 15 kV</t>
  </si>
  <si>
    <t>Zona de Corrosão</t>
  </si>
  <si>
    <t>Baixa ou Média</t>
  </si>
  <si>
    <t>Alta ou Muito Alta</t>
  </si>
  <si>
    <t>Chave Fusível Unipolar (uso exterior)</t>
  </si>
  <si>
    <t>Classe de Tensão</t>
  </si>
  <si>
    <t>15 kV</t>
  </si>
  <si>
    <t>15 kV com isolador espaçador</t>
  </si>
  <si>
    <t>Corrente Nominal</t>
  </si>
  <si>
    <t>300 A</t>
  </si>
  <si>
    <t>Capacidade de Ruptura Simétrica</t>
  </si>
  <si>
    <t>10 kA</t>
  </si>
  <si>
    <t>Tipo de Base</t>
  </si>
  <si>
    <t>Tipo C</t>
  </si>
  <si>
    <t>Nível Básico de Isolamento (NBI)</t>
  </si>
  <si>
    <t>95 kV</t>
  </si>
  <si>
    <t>Chave Seccionadora Unipolar (uso exterior)</t>
  </si>
  <si>
    <t>630 A</t>
  </si>
  <si>
    <t>Corrente Suportável - Valor de Crista</t>
  </si>
  <si>
    <t>16 kA</t>
  </si>
  <si>
    <t>110 kV</t>
  </si>
  <si>
    <t>Chave Seccionadora Tripolar (uso interior)</t>
  </si>
  <si>
    <t>Corrente Nominal Mínima</t>
  </si>
  <si>
    <t>Chave Seccionadora Fusível Tripolar (uso interior)</t>
  </si>
  <si>
    <t>100 A</t>
  </si>
  <si>
    <t>Disjuntor de Média Tensão</t>
  </si>
  <si>
    <t>Capacidade de Ruptura mínima</t>
  </si>
  <si>
    <t>350 MVA</t>
  </si>
  <si>
    <t>Para-raios</t>
  </si>
  <si>
    <t>12 kV</t>
  </si>
  <si>
    <t>Capacidade Mínima de Ruptura</t>
  </si>
  <si>
    <t>Condutores Nus do Ramal de Ligação</t>
  </si>
  <si>
    <t>Cobre ou Alumínio</t>
  </si>
  <si>
    <t>Seção mínima</t>
  </si>
  <si>
    <r>
      <t xml:space="preserve">TABELA 1 – RAMAL DE ENTRADA AÉREO EM CLASSE DE TENSÃO PRIMÁRIA DE DISTRIBUIÇÃO 15 E 36,2 </t>
    </r>
    <r>
      <rPr>
        <i/>
        <sz val="10"/>
        <color indexed="8"/>
        <rFont val="Arial"/>
        <family val="2"/>
      </rPr>
      <t>kV</t>
    </r>
  </si>
  <si>
    <t>Condutores Isolados</t>
  </si>
  <si>
    <t>Isolação Mínima</t>
  </si>
  <si>
    <t>8,7 / 15 kV</t>
  </si>
  <si>
    <t>Seção (mínimo 25 mm²)</t>
  </si>
  <si>
    <t>Conforme Potência Instalada</t>
  </si>
  <si>
    <t>Isoladores de Disco (cadeia)</t>
  </si>
  <si>
    <t>Com 2 isoladores</t>
  </si>
  <si>
    <t>Com 3 isoladores</t>
  </si>
  <si>
    <t xml:space="preserve">Isolador de Pino </t>
  </si>
  <si>
    <t>Tipo</t>
  </si>
  <si>
    <t>Hi-Top</t>
  </si>
  <si>
    <t>Pilar</t>
  </si>
  <si>
    <t>Classe de tensão</t>
  </si>
  <si>
    <t>25kV</t>
  </si>
  <si>
    <t>24,2kV</t>
  </si>
  <si>
    <t>Transformador de Distribuição</t>
  </si>
  <si>
    <t>Buchas de Média Tensão</t>
  </si>
  <si>
    <t>24,2 kV</t>
  </si>
  <si>
    <t>Material do Tanque</t>
  </si>
  <si>
    <t>Aço Pintado</t>
  </si>
  <si>
    <t>Aço Pintado para Ambientes com Alta Corrosividade</t>
  </si>
  <si>
    <t>Tensão Primária Nominal</t>
  </si>
  <si>
    <t>Tensão Secundária Nominal</t>
  </si>
  <si>
    <t>380/220 V</t>
  </si>
  <si>
    <t>Tipo de Ligação</t>
  </si>
  <si>
    <t>Triangulo - Estrela (com Neutro acessível)</t>
  </si>
  <si>
    <r>
      <t xml:space="preserve">TAP´s </t>
    </r>
    <r>
      <rPr>
        <sz val="10"/>
        <rFont val="Arial"/>
        <family val="2"/>
      </rPr>
      <t>Primários (Externos)</t>
    </r>
  </si>
  <si>
    <t>13,8 / 13,2 / 12,6 / 12 / 11,4 kV</t>
  </si>
  <si>
    <t>Materiais e Equipamentos para Instalações de classe de Tensão 36,2 kV</t>
  </si>
  <si>
    <t>36,2 kV</t>
  </si>
  <si>
    <r>
      <t xml:space="preserve">36,2 kV </t>
    </r>
    <r>
      <rPr>
        <sz val="10"/>
        <color indexed="8"/>
        <rFont val="Arial"/>
        <family val="2"/>
      </rPr>
      <t>com isolador espaçador</t>
    </r>
  </si>
  <si>
    <t>5 kA</t>
  </si>
  <si>
    <t>150 kV</t>
  </si>
  <si>
    <t>38 kV</t>
  </si>
  <si>
    <t>170 kV</t>
  </si>
  <si>
    <t>30 kV</t>
  </si>
  <si>
    <t>20 / 35 kV</t>
  </si>
  <si>
    <t>Com 4 isoladores</t>
  </si>
  <si>
    <t>Multicorpo</t>
  </si>
  <si>
    <t>34,5kV</t>
  </si>
  <si>
    <t>35kV</t>
  </si>
  <si>
    <t>TAP´s Primários (Externos)</t>
  </si>
  <si>
    <t>36,2 / 35,3 / 34,5 / 33,0 / 31,5 kV</t>
  </si>
  <si>
    <t>Coeficiente para Dimensionamento do Capacitor</t>
  </si>
  <si>
    <t>FP original</t>
  </si>
  <si>
    <t>FP corrigido 0,92</t>
  </si>
  <si>
    <t>3x3#120 (1#150)</t>
  </si>
  <si>
    <t>3x100 (4")</t>
  </si>
  <si>
    <t>2x3#95(1#95) ou 2x3#150(1#150)</t>
  </si>
  <si>
    <t>2x65 (21/2") ou 2x100 (4")</t>
  </si>
  <si>
    <t>3#240 (120) ou 2x3#70 (50)</t>
  </si>
  <si>
    <t>90 (3 1/2") ou 2x65 (2 1/2")</t>
  </si>
  <si>
    <t>2x3#240 (1#185) ou 2x3#185(1#185)</t>
  </si>
  <si>
    <t>100 (4") ou 2x100 (4")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</si>
</sst>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000"/>
    <numFmt numFmtId="166" formatCode=";;;"/>
    <numFmt numFmtId="167" formatCode="mm"/>
    <numFmt numFmtId="168" formatCode="0.000"/>
    <numFmt numFmtId="169" formatCode="#,##0.00_ ;\-#,##0.00\ "/>
    <numFmt numFmtId="170" formatCode="_-* #,##0.0000_-;\-* #,##0.0000_-;_-* &quot;-&quot;??_-;_-@_-"/>
  </numFmts>
  <fonts count="7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6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b/>
      <sz val="15"/>
      <name val="Arial"/>
      <family val="2"/>
    </font>
    <font>
      <b/>
      <sz val="9.5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5"/>
      <color indexed="18"/>
      <name val="Arial"/>
      <family val="2"/>
    </font>
    <font>
      <sz val="15"/>
      <color indexed="18"/>
      <name val="Arial"/>
      <family val="2"/>
    </font>
    <font>
      <sz val="15"/>
      <name val="Arial"/>
      <family val="2"/>
    </font>
    <font>
      <b/>
      <sz val="10"/>
      <color indexed="10"/>
      <name val="Arial"/>
      <family val="2"/>
    </font>
    <font>
      <sz val="9"/>
      <name val="Calibri"/>
      <family val="2"/>
    </font>
    <font>
      <sz val="10"/>
      <name val="C14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4"/>
      <color indexed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2" tint="-0.249977111117893"/>
      <name val="Arial"/>
      <family val="2"/>
    </font>
    <font>
      <b/>
      <sz val="11"/>
      <color theme="2" tint="-0.249977111117893"/>
      <name val="Arial"/>
      <family val="2"/>
    </font>
    <font>
      <sz val="10"/>
      <color theme="3"/>
      <name val="Arial"/>
      <family val="2"/>
    </font>
    <font>
      <b/>
      <sz val="11"/>
      <color theme="1"/>
      <name val="Arial"/>
      <family val="2"/>
    </font>
    <font>
      <b/>
      <sz val="9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8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i/>
      <sz val="10"/>
      <color theme="3"/>
      <name val="Arial"/>
      <family val="2"/>
    </font>
    <font>
      <b/>
      <sz val="10"/>
      <color theme="3" tint="-0.499984740745262"/>
      <name val="Arial"/>
      <family val="2"/>
    </font>
    <font>
      <b/>
      <sz val="9"/>
      <color theme="5" tint="-0.499984740745262"/>
      <name val="Arial"/>
      <family val="2"/>
    </font>
    <font>
      <b/>
      <sz val="8"/>
      <color theme="0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3" tint="-0.499984740745262"/>
      <name val="Arial Black"/>
      <family val="2"/>
    </font>
    <font>
      <b/>
      <i/>
      <sz val="11"/>
      <color rgb="FF002060"/>
      <name val="Arial"/>
      <family val="2"/>
    </font>
    <font>
      <b/>
      <sz val="12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color rgb="FF00206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3" tint="-0.499984740745262"/>
      </right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5">
    <xf numFmtId="0" fontId="0" fillId="0" borderId="0"/>
    <xf numFmtId="0" fontId="5" fillId="0" borderId="0"/>
    <xf numFmtId="0" fontId="41" fillId="0" borderId="0"/>
    <xf numFmtId="43" fontId="41" fillId="0" borderId="0" applyFont="0" applyFill="0" applyBorder="0" applyAlignment="0" applyProtection="0"/>
    <xf numFmtId="0" fontId="61" fillId="0" borderId="0" applyNumberFormat="0" applyFill="0" applyBorder="0" applyAlignment="0" applyProtection="0"/>
  </cellStyleXfs>
  <cellXfs count="565">
    <xf numFmtId="0" fontId="0" fillId="0" borderId="0" xfId="0"/>
    <xf numFmtId="43" fontId="43" fillId="8" borderId="1" xfId="3" applyFont="1" applyFill="1" applyBorder="1" applyAlignment="1" applyProtection="1">
      <alignment horizontal="center" vertical="center" wrapText="1"/>
      <protection hidden="1"/>
    </xf>
    <xf numFmtId="2" fontId="43" fillId="9" borderId="1" xfId="0" applyNumberFormat="1" applyFont="1" applyFill="1" applyBorder="1" applyAlignment="1" applyProtection="1">
      <alignment horizontal="center" vertical="center" wrapText="1"/>
      <protection hidden="1"/>
    </xf>
    <xf numFmtId="164" fontId="44" fillId="10" borderId="0" xfId="0" applyNumberFormat="1" applyFont="1" applyFill="1" applyAlignment="1" applyProtection="1">
      <alignment horizontal="center" vertical="center" wrapText="1"/>
      <protection hidden="1"/>
    </xf>
    <xf numFmtId="2" fontId="42" fillId="8" borderId="0" xfId="0" applyNumberFormat="1" applyFont="1" applyFill="1" applyAlignment="1" applyProtection="1">
      <alignment horizontal="left" vertical="center"/>
      <protection hidden="1"/>
    </xf>
    <xf numFmtId="165" fontId="42" fillId="8" borderId="0" xfId="0" applyNumberFormat="1" applyFont="1" applyFill="1" applyAlignment="1" applyProtection="1">
      <alignment horizontal="left" vertical="center"/>
      <protection hidden="1"/>
    </xf>
    <xf numFmtId="2" fontId="44" fillId="10" borderId="2" xfId="0" applyNumberFormat="1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3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2" fillId="0" borderId="0" xfId="0" applyFont="1" applyAlignment="1">
      <alignment horizontal="center" vertical="center" wrapText="1"/>
    </xf>
    <xf numFmtId="2" fontId="43" fillId="11" borderId="3" xfId="0" applyNumberFormat="1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 vertical="center" wrapText="1"/>
    </xf>
    <xf numFmtId="2" fontId="42" fillId="11" borderId="0" xfId="0" applyNumberFormat="1" applyFont="1" applyFill="1" applyAlignment="1">
      <alignment horizontal="center" vertical="center" wrapText="1"/>
    </xf>
    <xf numFmtId="2" fontId="43" fillId="11" borderId="0" xfId="0" applyNumberFormat="1" applyFont="1" applyFill="1" applyAlignment="1">
      <alignment horizontal="center" vertical="center" wrapText="1"/>
    </xf>
    <xf numFmtId="2" fontId="43" fillId="0" borderId="3" xfId="0" applyNumberFormat="1" applyFont="1" applyBorder="1" applyAlignment="1">
      <alignment horizontal="center" vertical="center" wrapText="1"/>
    </xf>
    <xf numFmtId="0" fontId="43" fillId="12" borderId="5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42" fillId="0" borderId="7" xfId="0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0" fontId="43" fillId="0" borderId="0" xfId="0" applyFont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0" fontId="42" fillId="9" borderId="3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3" fillId="9" borderId="10" xfId="0" applyFont="1" applyFill="1" applyBorder="1" applyAlignment="1">
      <alignment horizontal="left" vertical="center" wrapText="1"/>
    </xf>
    <xf numFmtId="0" fontId="43" fillId="9" borderId="3" xfId="0" applyFont="1" applyFill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1" applyAlignment="1" applyProtection="1">
      <alignment horizontal="left" vertical="center"/>
      <protection hidden="1"/>
    </xf>
    <xf numFmtId="0" fontId="6" fillId="0" borderId="11" xfId="1" applyFont="1" applyBorder="1" applyAlignment="1" applyProtection="1">
      <alignment vertical="center"/>
      <protection hidden="1"/>
    </xf>
    <xf numFmtId="0" fontId="5" fillId="0" borderId="12" xfId="1" applyBorder="1" applyAlignment="1" applyProtection="1">
      <alignment vertical="center"/>
      <protection hidden="1"/>
    </xf>
    <xf numFmtId="0" fontId="5" fillId="0" borderId="14" xfId="1" applyBorder="1" applyAlignment="1" applyProtection="1">
      <alignment vertical="center"/>
      <protection hidden="1"/>
    </xf>
    <xf numFmtId="0" fontId="5" fillId="0" borderId="0" xfId="1" applyAlignment="1" applyProtection="1">
      <alignment vertical="center"/>
      <protection hidden="1"/>
    </xf>
    <xf numFmtId="0" fontId="8" fillId="0" borderId="0" xfId="1" applyFont="1" applyAlignment="1" applyProtection="1">
      <alignment vertical="center"/>
      <protection hidden="1"/>
    </xf>
    <xf numFmtId="0" fontId="5" fillId="0" borderId="15" xfId="1" applyBorder="1" applyAlignment="1" applyProtection="1">
      <alignment vertical="center"/>
      <protection hidden="1"/>
    </xf>
    <xf numFmtId="0" fontId="47" fillId="11" borderId="0" xfId="1" applyFont="1" applyFill="1" applyAlignment="1">
      <alignment horizontal="left" vertical="center" shrinkToFit="1"/>
    </xf>
    <xf numFmtId="0" fontId="42" fillId="11" borderId="0" xfId="1" applyFont="1" applyFill="1" applyAlignment="1" applyProtection="1">
      <alignment vertical="center"/>
      <protection hidden="1"/>
    </xf>
    <xf numFmtId="0" fontId="42" fillId="11" borderId="15" xfId="1" applyFont="1" applyFill="1" applyBorder="1" applyAlignment="1" applyProtection="1">
      <alignment vertical="center"/>
      <protection hidden="1"/>
    </xf>
    <xf numFmtId="0" fontId="9" fillId="0" borderId="14" xfId="1" applyFont="1" applyBorder="1" applyAlignment="1" applyProtection="1">
      <alignment vertical="center"/>
      <protection hidden="1"/>
    </xf>
    <xf numFmtId="0" fontId="47" fillId="11" borderId="15" xfId="1" applyFont="1" applyFill="1" applyBorder="1" applyAlignment="1">
      <alignment horizontal="left" vertical="center" shrinkToFit="1"/>
    </xf>
    <xf numFmtId="0" fontId="6" fillId="0" borderId="12" xfId="1" applyFont="1" applyBorder="1" applyAlignment="1" applyProtection="1">
      <alignment vertical="center"/>
      <protection hidden="1"/>
    </xf>
    <xf numFmtId="0" fontId="6" fillId="0" borderId="13" xfId="1" applyFont="1" applyBorder="1" applyAlignment="1" applyProtection="1">
      <alignment vertical="center"/>
      <protection hidden="1"/>
    </xf>
    <xf numFmtId="0" fontId="13" fillId="0" borderId="0" xfId="1" applyFont="1" applyAlignment="1" applyProtection="1">
      <alignment horizontal="center" vertical="center"/>
      <protection hidden="1"/>
    </xf>
    <xf numFmtId="0" fontId="13" fillId="0" borderId="0" xfId="1" applyFont="1" applyAlignment="1" applyProtection="1">
      <alignment horizontal="center" vertical="center" shrinkToFit="1"/>
      <protection hidden="1"/>
    </xf>
    <xf numFmtId="0" fontId="13" fillId="0" borderId="14" xfId="1" applyFont="1" applyBorder="1" applyAlignment="1" applyProtection="1">
      <alignment horizontal="left" vertical="center"/>
      <protection hidden="1"/>
    </xf>
    <xf numFmtId="0" fontId="5" fillId="0" borderId="0" xfId="1" applyProtection="1">
      <protection hidden="1"/>
    </xf>
    <xf numFmtId="0" fontId="5" fillId="0" borderId="0" xfId="1" applyAlignment="1" applyProtection="1">
      <alignment horizontal="right" vertical="center"/>
      <protection hidden="1"/>
    </xf>
    <xf numFmtId="0" fontId="5" fillId="0" borderId="0" xfId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/>
      <protection hidden="1"/>
    </xf>
    <xf numFmtId="0" fontId="10" fillId="0" borderId="0" xfId="1" applyFont="1" applyAlignment="1" applyProtection="1">
      <alignment horizontal="right" vertical="center"/>
      <protection hidden="1"/>
    </xf>
    <xf numFmtId="0" fontId="13" fillId="0" borderId="14" xfId="1" applyFont="1" applyBorder="1" applyAlignment="1" applyProtection="1">
      <alignment horizontal="center" vertical="center"/>
      <protection hidden="1"/>
    </xf>
    <xf numFmtId="0" fontId="13" fillId="0" borderId="15" xfId="1" applyFont="1" applyBorder="1" applyAlignment="1" applyProtection="1">
      <alignment horizontal="center" vertical="center"/>
      <protection hidden="1"/>
    </xf>
    <xf numFmtId="0" fontId="5" fillId="0" borderId="16" xfId="1" applyBorder="1" applyAlignment="1" applyProtection="1">
      <alignment vertical="center"/>
      <protection hidden="1"/>
    </xf>
    <xf numFmtId="0" fontId="17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5" fillId="0" borderId="17" xfId="1" applyBorder="1" applyAlignment="1" applyProtection="1">
      <alignment vertical="center"/>
      <protection hidden="1"/>
    </xf>
    <xf numFmtId="0" fontId="5" fillId="0" borderId="7" xfId="1" applyBorder="1" applyAlignment="1" applyProtection="1">
      <alignment vertical="center"/>
      <protection hidden="1"/>
    </xf>
    <xf numFmtId="0" fontId="5" fillId="0" borderId="6" xfId="1" applyBorder="1" applyAlignment="1" applyProtection="1">
      <alignment vertical="center"/>
      <protection hidden="1"/>
    </xf>
    <xf numFmtId="0" fontId="13" fillId="0" borderId="15" xfId="1" applyFont="1" applyBorder="1" applyAlignment="1" applyProtection="1">
      <alignment horizontal="left" vertical="center"/>
      <protection hidden="1"/>
    </xf>
    <xf numFmtId="0" fontId="13" fillId="0" borderId="0" xfId="1" applyFont="1" applyAlignment="1" applyProtection="1">
      <alignment horizontal="left" vertical="center"/>
      <protection hidden="1"/>
    </xf>
    <xf numFmtId="0" fontId="19" fillId="0" borderId="14" xfId="1" applyFont="1" applyBorder="1" applyAlignment="1" applyProtection="1">
      <alignment vertical="center" shrinkToFit="1"/>
      <protection hidden="1"/>
    </xf>
    <xf numFmtId="2" fontId="20" fillId="0" borderId="0" xfId="1" applyNumberFormat="1" applyFont="1" applyAlignment="1" applyProtection="1">
      <alignment horizontal="center" vertical="center"/>
      <protection hidden="1"/>
    </xf>
    <xf numFmtId="2" fontId="20" fillId="0" borderId="0" xfId="1" applyNumberFormat="1" applyFont="1" applyAlignment="1" applyProtection="1">
      <alignment horizontal="left" vertical="center"/>
      <protection hidden="1"/>
    </xf>
    <xf numFmtId="2" fontId="21" fillId="0" borderId="0" xfId="1" applyNumberFormat="1" applyFont="1" applyAlignment="1" applyProtection="1">
      <alignment horizontal="center" vertical="center"/>
      <protection hidden="1"/>
    </xf>
    <xf numFmtId="0" fontId="22" fillId="0" borderId="0" xfId="1" applyFont="1" applyAlignment="1" applyProtection="1">
      <alignment horizontal="center" vertical="center"/>
      <protection hidden="1"/>
    </xf>
    <xf numFmtId="0" fontId="5" fillId="0" borderId="14" xfId="1" applyBorder="1"/>
    <xf numFmtId="2" fontId="20" fillId="0" borderId="0" xfId="1" applyNumberFormat="1" applyFont="1" applyAlignment="1" applyProtection="1">
      <alignment horizontal="center" vertical="center" shrinkToFit="1"/>
      <protection hidden="1"/>
    </xf>
    <xf numFmtId="0" fontId="8" fillId="0" borderId="15" xfId="1" applyFont="1" applyBorder="1" applyAlignment="1" applyProtection="1">
      <alignment vertical="center"/>
      <protection hidden="1"/>
    </xf>
    <xf numFmtId="166" fontId="21" fillId="0" borderId="14" xfId="1" applyNumberFormat="1" applyFont="1" applyBorder="1" applyAlignment="1" applyProtection="1">
      <alignment horizontal="center" vertical="center"/>
      <protection hidden="1"/>
    </xf>
    <xf numFmtId="0" fontId="12" fillId="0" borderId="0" xfId="1" applyFont="1" applyAlignment="1" applyProtection="1">
      <alignment horizontal="center" vertical="center"/>
      <protection hidden="1"/>
    </xf>
    <xf numFmtId="0" fontId="12" fillId="0" borderId="0" xfId="1" applyFont="1" applyAlignment="1" applyProtection="1">
      <alignment vertical="center"/>
      <protection hidden="1"/>
    </xf>
    <xf numFmtId="0" fontId="12" fillId="0" borderId="15" xfId="1" applyFont="1" applyBorder="1" applyAlignment="1" applyProtection="1">
      <alignment horizontal="center" vertical="center"/>
      <protection hidden="1"/>
    </xf>
    <xf numFmtId="0" fontId="21" fillId="0" borderId="0" xfId="1" applyFont="1" applyAlignment="1" applyProtection="1">
      <alignment vertical="center"/>
      <protection hidden="1"/>
    </xf>
    <xf numFmtId="0" fontId="20" fillId="0" borderId="0" xfId="1" applyFont="1" applyAlignment="1" applyProtection="1">
      <alignment vertical="center" shrinkToFit="1"/>
      <protection hidden="1"/>
    </xf>
    <xf numFmtId="0" fontId="20" fillId="0" borderId="15" xfId="1" applyFont="1" applyBorder="1" applyAlignment="1" applyProtection="1">
      <alignment horizontal="center" vertical="center" shrinkToFit="1"/>
      <protection hidden="1"/>
    </xf>
    <xf numFmtId="0" fontId="10" fillId="0" borderId="0" xfId="1" applyFont="1" applyAlignment="1" applyProtection="1">
      <alignment vertical="center" shrinkToFit="1"/>
      <protection hidden="1"/>
    </xf>
    <xf numFmtId="0" fontId="20" fillId="0" borderId="15" xfId="1" quotePrefix="1" applyFont="1" applyBorder="1" applyAlignment="1" applyProtection="1">
      <alignment horizontal="center" vertical="center" shrinkToFit="1"/>
      <protection hidden="1"/>
    </xf>
    <xf numFmtId="0" fontId="5" fillId="0" borderId="14" xfId="1" applyBorder="1" applyAlignment="1" applyProtection="1">
      <alignment vertical="center" wrapText="1"/>
      <protection hidden="1"/>
    </xf>
    <xf numFmtId="0" fontId="5" fillId="0" borderId="0" xfId="1" applyAlignment="1" applyProtection="1">
      <alignment vertical="center" wrapText="1"/>
      <protection hidden="1"/>
    </xf>
    <xf numFmtId="0" fontId="20" fillId="0" borderId="0" xfId="1" applyFont="1" applyAlignment="1" applyProtection="1">
      <alignment vertical="center"/>
      <protection hidden="1"/>
    </xf>
    <xf numFmtId="166" fontId="11" fillId="0" borderId="0" xfId="1" applyNumberFormat="1" applyFont="1" applyAlignment="1" applyProtection="1">
      <alignment vertical="center"/>
      <protection hidden="1"/>
    </xf>
    <xf numFmtId="0" fontId="48" fillId="0" borderId="14" xfId="1" applyFont="1" applyBorder="1" applyAlignment="1" applyProtection="1">
      <alignment vertical="center" shrinkToFit="1"/>
      <protection hidden="1"/>
    </xf>
    <xf numFmtId="0" fontId="48" fillId="0" borderId="0" xfId="1" applyFont="1" applyAlignment="1" applyProtection="1">
      <alignment vertical="center" shrinkToFit="1"/>
      <protection hidden="1"/>
    </xf>
    <xf numFmtId="0" fontId="48" fillId="0" borderId="15" xfId="1" applyFont="1" applyBorder="1" applyAlignment="1" applyProtection="1">
      <alignment vertical="center" shrinkToFit="1"/>
      <protection hidden="1"/>
    </xf>
    <xf numFmtId="0" fontId="12" fillId="0" borderId="14" xfId="1" applyFont="1" applyBorder="1" applyAlignment="1" applyProtection="1">
      <alignment vertical="center" wrapText="1"/>
      <protection hidden="1"/>
    </xf>
    <xf numFmtId="0" fontId="12" fillId="0" borderId="0" xfId="1" applyFont="1" applyAlignment="1" applyProtection="1">
      <alignment vertical="center" wrapText="1"/>
      <protection hidden="1"/>
    </xf>
    <xf numFmtId="0" fontId="12" fillId="0" borderId="17" xfId="1" applyFont="1" applyBorder="1" applyAlignment="1" applyProtection="1">
      <alignment vertical="center" wrapText="1"/>
      <protection hidden="1"/>
    </xf>
    <xf numFmtId="0" fontId="12" fillId="0" borderId="7" xfId="1" applyFont="1" applyBorder="1" applyAlignment="1" applyProtection="1">
      <alignment vertical="center" wrapText="1"/>
      <protection hidden="1"/>
    </xf>
    <xf numFmtId="0" fontId="15" fillId="0" borderId="0" xfId="1" applyFont="1" applyAlignment="1" applyProtection="1">
      <alignment vertical="center"/>
      <protection hidden="1"/>
    </xf>
    <xf numFmtId="0" fontId="23" fillId="0" borderId="0" xfId="1" applyFont="1" applyAlignment="1" applyProtection="1">
      <alignment vertical="center" shrinkToFit="1"/>
      <protection hidden="1"/>
    </xf>
    <xf numFmtId="0" fontId="5" fillId="0" borderId="15" xfId="1" applyBorder="1" applyProtection="1">
      <protection hidden="1"/>
    </xf>
    <xf numFmtId="0" fontId="15" fillId="0" borderId="14" xfId="1" applyFont="1" applyBorder="1" applyAlignment="1" applyProtection="1">
      <alignment vertical="center" wrapText="1"/>
      <protection hidden="1"/>
    </xf>
    <xf numFmtId="0" fontId="15" fillId="0" borderId="0" xfId="1" applyFont="1" applyAlignment="1" applyProtection="1">
      <alignment vertical="center" wrapText="1"/>
      <protection hidden="1"/>
    </xf>
    <xf numFmtId="0" fontId="21" fillId="0" borderId="0" xfId="1" applyFont="1" applyAlignment="1" applyProtection="1">
      <alignment horizontal="center" vertical="center" shrinkToFit="1"/>
      <protection hidden="1"/>
    </xf>
    <xf numFmtId="0" fontId="23" fillId="0" borderId="15" xfId="1" applyFont="1" applyBorder="1" applyAlignment="1" applyProtection="1">
      <alignment vertical="center" shrinkToFit="1"/>
      <protection hidden="1"/>
    </xf>
    <xf numFmtId="0" fontId="15" fillId="0" borderId="14" xfId="1" applyFont="1" applyBorder="1" applyAlignment="1" applyProtection="1">
      <alignment vertical="center"/>
      <protection hidden="1"/>
    </xf>
    <xf numFmtId="0" fontId="23" fillId="0" borderId="0" xfId="1" applyFont="1" applyAlignment="1" applyProtection="1">
      <alignment horizontal="center" vertical="center" shrinkToFit="1"/>
      <protection hidden="1"/>
    </xf>
    <xf numFmtId="0" fontId="23" fillId="0" borderId="7" xfId="1" applyFont="1" applyBorder="1" applyAlignment="1" applyProtection="1">
      <alignment vertical="center" shrinkToFit="1"/>
      <protection hidden="1"/>
    </xf>
    <xf numFmtId="0" fontId="23" fillId="0" borderId="6" xfId="1" applyFont="1" applyBorder="1" applyAlignment="1" applyProtection="1">
      <alignment vertical="center" shrinkToFit="1"/>
      <protection hidden="1"/>
    </xf>
    <xf numFmtId="0" fontId="19" fillId="0" borderId="14" xfId="1" applyFont="1" applyBorder="1" applyAlignment="1" applyProtection="1">
      <alignment horizontal="right" vertical="center" shrinkToFit="1"/>
      <protection hidden="1"/>
    </xf>
    <xf numFmtId="0" fontId="5" fillId="0" borderId="14" xfId="1" applyBorder="1" applyAlignment="1" applyProtection="1">
      <alignment horizontal="right" vertical="center"/>
      <protection hidden="1"/>
    </xf>
    <xf numFmtId="0" fontId="48" fillId="0" borderId="0" xfId="1" applyFont="1" applyAlignment="1" applyProtection="1">
      <alignment horizontal="right" vertical="center"/>
      <protection hidden="1"/>
    </xf>
    <xf numFmtId="0" fontId="5" fillId="0" borderId="15" xfId="1" applyBorder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vertical="center" shrinkToFit="1"/>
      <protection hidden="1"/>
    </xf>
    <xf numFmtId="0" fontId="20" fillId="0" borderId="14" xfId="1" applyFont="1" applyBorder="1" applyAlignment="1" applyProtection="1">
      <alignment horizontal="center" vertical="center" shrinkToFit="1"/>
      <protection hidden="1"/>
    </xf>
    <xf numFmtId="167" fontId="5" fillId="0" borderId="0" xfId="1" applyNumberFormat="1" applyAlignment="1" applyProtection="1">
      <alignment vertical="center"/>
      <protection hidden="1"/>
    </xf>
    <xf numFmtId="0" fontId="5" fillId="0" borderId="16" xfId="1" applyBorder="1" applyAlignment="1" applyProtection="1">
      <alignment horizontal="left" vertical="center"/>
      <protection hidden="1"/>
    </xf>
    <xf numFmtId="0" fontId="5" fillId="0" borderId="1" xfId="1" applyBorder="1" applyAlignment="1" applyProtection="1">
      <alignment horizontal="center" vertical="center"/>
      <protection hidden="1"/>
    </xf>
    <xf numFmtId="0" fontId="5" fillId="0" borderId="1" xfId="1" applyBorder="1" applyAlignment="1" applyProtection="1">
      <alignment vertical="center"/>
      <protection hidden="1"/>
    </xf>
    <xf numFmtId="0" fontId="5" fillId="0" borderId="0" xfId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10" fillId="0" borderId="16" xfId="1" applyFont="1" applyBorder="1" applyAlignment="1" applyProtection="1">
      <alignment vertical="center"/>
      <protection hidden="1"/>
    </xf>
    <xf numFmtId="1" fontId="20" fillId="0" borderId="1" xfId="1" applyNumberFormat="1" applyFont="1" applyBorder="1" applyAlignment="1" applyProtection="1">
      <alignment horizontal="center" vertical="center"/>
      <protection hidden="1"/>
    </xf>
    <xf numFmtId="0" fontId="10" fillId="0" borderId="1" xfId="1" applyFont="1" applyBorder="1" applyAlignment="1" applyProtection="1">
      <alignment vertical="center"/>
      <protection hidden="1"/>
    </xf>
    <xf numFmtId="2" fontId="5" fillId="0" borderId="0" xfId="1" applyNumberFormat="1" applyAlignment="1" applyProtection="1">
      <alignment vertical="center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5" fillId="3" borderId="0" xfId="1" applyFill="1" applyAlignment="1" applyProtection="1">
      <alignment vertical="center"/>
      <protection hidden="1"/>
    </xf>
    <xf numFmtId="0" fontId="11" fillId="0" borderId="14" xfId="1" applyFont="1" applyBorder="1" applyAlignment="1" applyProtection="1">
      <alignment horizontal="center" vertical="center"/>
      <protection hidden="1"/>
    </xf>
    <xf numFmtId="0" fontId="5" fillId="0" borderId="14" xfId="1" applyBorder="1" applyAlignment="1" applyProtection="1">
      <alignment horizontal="center" vertical="center"/>
      <protection hidden="1"/>
    </xf>
    <xf numFmtId="12" fontId="26" fillId="0" borderId="0" xfId="1" applyNumberFormat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15" xfId="1" applyFont="1" applyBorder="1" applyAlignment="1" applyProtection="1">
      <alignment horizontal="center" vertical="center"/>
      <protection hidden="1"/>
    </xf>
    <xf numFmtId="1" fontId="27" fillId="0" borderId="0" xfId="1" applyNumberFormat="1" applyFont="1" applyAlignment="1" applyProtection="1">
      <alignment horizontal="center" vertical="center"/>
      <protection hidden="1"/>
    </xf>
    <xf numFmtId="0" fontId="7" fillId="0" borderId="14" xfId="1" applyFont="1" applyBorder="1" applyAlignment="1" applyProtection="1">
      <alignment horizontal="left" vertical="center"/>
      <protection hidden="1"/>
    </xf>
    <xf numFmtId="0" fontId="7" fillId="0" borderId="0" xfId="1" applyFont="1" applyAlignment="1" applyProtection="1">
      <alignment horizontal="left" vertical="center"/>
      <protection hidden="1"/>
    </xf>
    <xf numFmtId="0" fontId="7" fillId="0" borderId="15" xfId="1" applyFont="1" applyBorder="1" applyAlignment="1" applyProtection="1">
      <alignment horizontal="left" vertical="center"/>
      <protection hidden="1"/>
    </xf>
    <xf numFmtId="0" fontId="10" fillId="0" borderId="14" xfId="1" applyFont="1" applyBorder="1" applyAlignment="1" applyProtection="1">
      <alignment horizontal="center" vertical="center"/>
      <protection hidden="1"/>
    </xf>
    <xf numFmtId="2" fontId="20" fillId="0" borderId="0" xfId="1" applyNumberFormat="1" applyFont="1" applyAlignment="1" applyProtection="1">
      <alignment vertical="center"/>
      <protection hidden="1"/>
    </xf>
    <xf numFmtId="0" fontId="28" fillId="0" borderId="0" xfId="1" applyFont="1" applyAlignment="1" applyProtection="1">
      <alignment horizontal="center" vertical="center"/>
      <protection hidden="1"/>
    </xf>
    <xf numFmtId="0" fontId="28" fillId="0" borderId="0" xfId="1" applyFont="1" applyAlignment="1" applyProtection="1">
      <alignment vertical="center"/>
      <protection hidden="1"/>
    </xf>
    <xf numFmtId="0" fontId="5" fillId="4" borderId="14" xfId="1" applyFill="1" applyBorder="1" applyAlignment="1" applyProtection="1">
      <alignment vertical="center"/>
      <protection hidden="1"/>
    </xf>
    <xf numFmtId="0" fontId="5" fillId="4" borderId="0" xfId="1" applyFill="1" applyAlignment="1" applyProtection="1">
      <alignment vertical="center"/>
      <protection hidden="1"/>
    </xf>
    <xf numFmtId="0" fontId="5" fillId="4" borderId="15" xfId="1" applyFill="1" applyBorder="1" applyAlignment="1" applyProtection="1">
      <alignment vertical="center"/>
      <protection hidden="1"/>
    </xf>
    <xf numFmtId="12" fontId="49" fillId="0" borderId="0" xfId="1" applyNumberFormat="1" applyFont="1" applyAlignment="1" applyProtection="1">
      <alignment horizontal="center" vertical="center"/>
      <protection hidden="1"/>
    </xf>
    <xf numFmtId="0" fontId="16" fillId="0" borderId="0" xfId="1" applyFont="1" applyAlignment="1" applyProtection="1">
      <alignment horizontal="left" vertical="center"/>
      <protection hidden="1"/>
    </xf>
    <xf numFmtId="0" fontId="21" fillId="0" borderId="0" xfId="1" applyFont="1" applyAlignment="1" applyProtection="1">
      <alignment vertical="center" shrinkToFit="1"/>
      <protection hidden="1"/>
    </xf>
    <xf numFmtId="12" fontId="50" fillId="0" borderId="15" xfId="1" applyNumberFormat="1" applyFont="1" applyBorder="1" applyAlignment="1" applyProtection="1">
      <alignment horizontal="left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1" fillId="0" borderId="0" xfId="1" applyFont="1" applyAlignment="1" applyProtection="1">
      <alignment horizontal="center" vertical="center"/>
      <protection hidden="1"/>
    </xf>
    <xf numFmtId="0" fontId="21" fillId="0" borderId="0" xfId="1" applyFont="1" applyAlignment="1" applyProtection="1">
      <alignment horizontal="left" vertical="center"/>
      <protection hidden="1"/>
    </xf>
    <xf numFmtId="0" fontId="5" fillId="0" borderId="17" xfId="1" applyBorder="1"/>
    <xf numFmtId="0" fontId="5" fillId="0" borderId="7" xfId="1" applyBorder="1"/>
    <xf numFmtId="0" fontId="5" fillId="0" borderId="6" xfId="1" applyBorder="1"/>
    <xf numFmtId="0" fontId="10" fillId="0" borderId="0" xfId="1" applyFont="1" applyAlignment="1" applyProtection="1">
      <alignment vertical="center" textRotation="90"/>
      <protection hidden="1"/>
    </xf>
    <xf numFmtId="0" fontId="5" fillId="3" borderId="0" xfId="1" applyFill="1" applyAlignment="1" applyProtection="1">
      <alignment horizontal="center" vertical="center"/>
      <protection hidden="1"/>
    </xf>
    <xf numFmtId="0" fontId="5" fillId="3" borderId="0" xfId="1" applyFill="1" applyAlignment="1" applyProtection="1">
      <alignment horizontal="left" vertical="center"/>
      <protection hidden="1"/>
    </xf>
    <xf numFmtId="0" fontId="5" fillId="3" borderId="1" xfId="1" applyFill="1" applyBorder="1" applyAlignment="1" applyProtection="1">
      <alignment horizontal="center" vertical="center"/>
      <protection hidden="1"/>
    </xf>
    <xf numFmtId="0" fontId="5" fillId="3" borderId="1" xfId="1" applyFill="1" applyBorder="1" applyAlignment="1" applyProtection="1">
      <alignment horizontal="left" vertical="center"/>
      <protection hidden="1"/>
    </xf>
    <xf numFmtId="0" fontId="10" fillId="3" borderId="10" xfId="1" applyFont="1" applyFill="1" applyBorder="1" applyAlignment="1" applyProtection="1">
      <alignment horizontal="center" vertical="center"/>
      <protection hidden="1"/>
    </xf>
    <xf numFmtId="0" fontId="10" fillId="3" borderId="1" xfId="1" applyFont="1" applyFill="1" applyBorder="1" applyAlignment="1" applyProtection="1">
      <alignment horizontal="center" vertical="center"/>
      <protection hidden="1"/>
    </xf>
    <xf numFmtId="0" fontId="5" fillId="3" borderId="1" xfId="1" applyFill="1" applyBorder="1" applyAlignment="1" applyProtection="1">
      <alignment vertical="center"/>
      <protection hidden="1"/>
    </xf>
    <xf numFmtId="0" fontId="5" fillId="3" borderId="10" xfId="1" applyFill="1" applyBorder="1" applyAlignment="1" applyProtection="1">
      <alignment horizontal="center" vertical="center"/>
      <protection hidden="1"/>
    </xf>
    <xf numFmtId="0" fontId="5" fillId="3" borderId="14" xfId="1" applyFill="1" applyBorder="1" applyAlignment="1" applyProtection="1">
      <alignment horizontal="center" vertical="center"/>
      <protection hidden="1"/>
    </xf>
    <xf numFmtId="0" fontId="5" fillId="3" borderId="15" xfId="1" applyFill="1" applyBorder="1" applyAlignment="1" applyProtection="1">
      <alignment horizontal="left" vertical="center"/>
      <protection hidden="1"/>
    </xf>
    <xf numFmtId="2" fontId="5" fillId="3" borderId="1" xfId="1" applyNumberFormat="1" applyFill="1" applyBorder="1" applyAlignment="1" applyProtection="1">
      <alignment horizontal="center" vertical="center"/>
      <protection hidden="1"/>
    </xf>
    <xf numFmtId="164" fontId="5" fillId="3" borderId="1" xfId="1" applyNumberFormat="1" applyFill="1" applyBorder="1" applyAlignment="1" applyProtection="1">
      <alignment horizontal="center" vertical="center"/>
      <protection hidden="1"/>
    </xf>
    <xf numFmtId="0" fontId="5" fillId="3" borderId="17" xfId="1" applyFill="1" applyBorder="1" applyAlignment="1" applyProtection="1">
      <alignment horizontal="center" vertical="center"/>
      <protection hidden="1"/>
    </xf>
    <xf numFmtId="0" fontId="5" fillId="3" borderId="7" xfId="1" applyFill="1" applyBorder="1" applyAlignment="1" applyProtection="1">
      <alignment horizontal="center" vertical="center"/>
      <protection hidden="1"/>
    </xf>
    <xf numFmtId="0" fontId="5" fillId="3" borderId="6" xfId="1" applyFill="1" applyBorder="1" applyAlignment="1" applyProtection="1">
      <alignment horizontal="left" vertical="center"/>
      <protection hidden="1"/>
    </xf>
    <xf numFmtId="0" fontId="31" fillId="3" borderId="0" xfId="1" applyFont="1" applyFill="1" applyAlignment="1" applyProtection="1">
      <alignment vertical="center"/>
      <protection hidden="1"/>
    </xf>
    <xf numFmtId="0" fontId="30" fillId="3" borderId="1" xfId="1" applyFont="1" applyFill="1" applyBorder="1" applyAlignment="1" applyProtection="1">
      <alignment horizontal="center" vertical="center"/>
      <protection hidden="1"/>
    </xf>
    <xf numFmtId="0" fontId="30" fillId="3" borderId="1" xfId="1" applyFont="1" applyFill="1" applyBorder="1" applyAlignment="1" applyProtection="1">
      <alignment horizontal="left" vertical="center"/>
      <protection hidden="1"/>
    </xf>
    <xf numFmtId="0" fontId="5" fillId="3" borderId="18" xfId="1" applyFill="1" applyBorder="1" applyAlignment="1" applyProtection="1">
      <alignment horizontal="center" vertical="center"/>
      <protection hidden="1"/>
    </xf>
    <xf numFmtId="0" fontId="5" fillId="3" borderId="19" xfId="1" applyFill="1" applyBorder="1" applyAlignment="1" applyProtection="1">
      <alignment horizontal="center" vertical="center"/>
      <protection hidden="1"/>
    </xf>
    <xf numFmtId="0" fontId="32" fillId="3" borderId="0" xfId="1" applyFont="1" applyFill="1" applyAlignment="1" applyProtection="1">
      <alignment horizontal="center" vertical="center"/>
      <protection hidden="1"/>
    </xf>
    <xf numFmtId="0" fontId="5" fillId="0" borderId="0" xfId="1"/>
    <xf numFmtId="0" fontId="51" fillId="13" borderId="8" xfId="1" applyFont="1" applyFill="1" applyBorder="1" applyAlignment="1">
      <alignment horizontal="center" vertical="center" wrapText="1"/>
    </xf>
    <xf numFmtId="0" fontId="51" fillId="13" borderId="9" xfId="1" applyFont="1" applyFill="1" applyBorder="1" applyAlignment="1">
      <alignment horizontal="center" vertical="center" wrapText="1"/>
    </xf>
    <xf numFmtId="0" fontId="52" fillId="0" borderId="6" xfId="1" applyFont="1" applyBorder="1" applyAlignment="1">
      <alignment horizontal="center" vertical="center" wrapText="1"/>
    </xf>
    <xf numFmtId="0" fontId="52" fillId="0" borderId="7" xfId="1" applyFont="1" applyBorder="1" applyAlignment="1">
      <alignment horizontal="center" vertical="center" wrapText="1"/>
    </xf>
    <xf numFmtId="0" fontId="52" fillId="0" borderId="15" xfId="1" applyFont="1" applyBorder="1" applyAlignment="1">
      <alignment horizontal="center" vertical="center" wrapText="1"/>
    </xf>
    <xf numFmtId="0" fontId="52" fillId="0" borderId="0" xfId="1" applyFont="1" applyAlignment="1">
      <alignment horizontal="center" vertical="center" wrapText="1"/>
    </xf>
    <xf numFmtId="0" fontId="51" fillId="13" borderId="57" xfId="1" applyFont="1" applyFill="1" applyBorder="1" applyAlignment="1">
      <alignment horizontal="center" vertical="center" wrapText="1"/>
    </xf>
    <xf numFmtId="0" fontId="51" fillId="13" borderId="5" xfId="1" applyFont="1" applyFill="1" applyBorder="1" applyAlignment="1">
      <alignment horizontal="center" vertical="center" wrapText="1"/>
    </xf>
    <xf numFmtId="0" fontId="53" fillId="0" borderId="0" xfId="1" applyFont="1" applyAlignment="1">
      <alignment horizontal="center"/>
    </xf>
    <xf numFmtId="0" fontId="52" fillId="0" borderId="8" xfId="1" applyFont="1" applyBorder="1" applyAlignment="1">
      <alignment horizontal="center" vertical="center" wrapText="1"/>
    </xf>
    <xf numFmtId="0" fontId="52" fillId="0" borderId="9" xfId="1" applyFont="1" applyBorder="1" applyAlignment="1">
      <alignment horizontal="center" vertical="center" wrapText="1"/>
    </xf>
    <xf numFmtId="0" fontId="10" fillId="12" borderId="4" xfId="1" applyFont="1" applyFill="1" applyBorder="1" applyAlignment="1">
      <alignment horizontal="center" vertical="center" wrapText="1"/>
    </xf>
    <xf numFmtId="0" fontId="10" fillId="12" borderId="5" xfId="1" applyFont="1" applyFill="1" applyBorder="1" applyAlignment="1">
      <alignment horizontal="center" vertical="center" wrapText="1"/>
    </xf>
    <xf numFmtId="0" fontId="5" fillId="0" borderId="6" xfId="1" applyBorder="1" applyAlignment="1">
      <alignment horizontal="center" vertical="center" wrapText="1"/>
    </xf>
    <xf numFmtId="0" fontId="5" fillId="0" borderId="7" xfId="1" applyBorder="1" applyAlignment="1">
      <alignment horizontal="center" vertical="center" wrapText="1"/>
    </xf>
    <xf numFmtId="0" fontId="5" fillId="0" borderId="8" xfId="1" applyBorder="1" applyAlignment="1">
      <alignment horizontal="center" vertical="center" wrapText="1"/>
    </xf>
    <xf numFmtId="0" fontId="5" fillId="0" borderId="9" xfId="1" applyBorder="1" applyAlignment="1">
      <alignment horizontal="center" vertical="center" wrapText="1"/>
    </xf>
    <xf numFmtId="0" fontId="54" fillId="12" borderId="6" xfId="1" applyFont="1" applyFill="1" applyBorder="1" applyAlignment="1">
      <alignment horizontal="center" vertical="center" wrapText="1"/>
    </xf>
    <xf numFmtId="0" fontId="54" fillId="12" borderId="6" xfId="1" applyFont="1" applyFill="1" applyBorder="1" applyAlignment="1">
      <alignment vertical="center" wrapText="1"/>
    </xf>
    <xf numFmtId="0" fontId="54" fillId="12" borderId="7" xfId="1" applyFont="1" applyFill="1" applyBorder="1" applyAlignment="1">
      <alignment vertical="top" wrapText="1"/>
    </xf>
    <xf numFmtId="0" fontId="55" fillId="0" borderId="6" xfId="1" applyFont="1" applyBorder="1" applyAlignment="1">
      <alignment horizontal="center" vertical="center" wrapText="1"/>
    </xf>
    <xf numFmtId="0" fontId="55" fillId="0" borderId="7" xfId="1" applyFont="1" applyBorder="1" applyAlignment="1">
      <alignment horizontal="center" vertical="center" wrapText="1"/>
    </xf>
    <xf numFmtId="0" fontId="54" fillId="12" borderId="7" xfId="1" applyFont="1" applyFill="1" applyBorder="1" applyAlignment="1">
      <alignment horizontal="center" vertical="center" wrapText="1"/>
    </xf>
    <xf numFmtId="0" fontId="53" fillId="0" borderId="0" xfId="1" applyFont="1" applyAlignment="1">
      <alignment horizontal="center" vertical="center"/>
    </xf>
    <xf numFmtId="3" fontId="55" fillId="0" borderId="6" xfId="1" applyNumberFormat="1" applyFont="1" applyBorder="1" applyAlignment="1">
      <alignment horizontal="center" vertical="center" wrapText="1"/>
    </xf>
    <xf numFmtId="3" fontId="55" fillId="0" borderId="8" xfId="1" applyNumberFormat="1" applyFont="1" applyBorder="1" applyAlignment="1">
      <alignment horizontal="center" vertical="center" wrapText="1"/>
    </xf>
    <xf numFmtId="0" fontId="55" fillId="0" borderId="8" xfId="1" applyFont="1" applyBorder="1" applyAlignment="1">
      <alignment horizontal="center" vertical="center" wrapText="1"/>
    </xf>
    <xf numFmtId="0" fontId="55" fillId="0" borderId="9" xfId="1" applyFont="1" applyBorder="1" applyAlignment="1">
      <alignment horizontal="center" vertical="center" wrapText="1"/>
    </xf>
    <xf numFmtId="0" fontId="35" fillId="0" borderId="0" xfId="1" applyFont="1" applyAlignment="1">
      <alignment vertical="center" wrapText="1"/>
    </xf>
    <xf numFmtId="0" fontId="54" fillId="12" borderId="12" xfId="1" applyFont="1" applyFill="1" applyBorder="1" applyAlignment="1">
      <alignment horizontal="center" vertical="center" wrapText="1"/>
    </xf>
    <xf numFmtId="0" fontId="54" fillId="12" borderId="0" xfId="1" applyFont="1" applyFill="1" applyAlignment="1">
      <alignment horizontal="center" vertical="center" wrapText="1"/>
    </xf>
    <xf numFmtId="0" fontId="54" fillId="12" borderId="15" xfId="1" applyFont="1" applyFill="1" applyBorder="1" applyAlignment="1">
      <alignment horizontal="center" vertical="center" wrapText="1"/>
    </xf>
    <xf numFmtId="0" fontId="55" fillId="12" borderId="15" xfId="1" applyFont="1" applyFill="1" applyBorder="1" applyAlignment="1">
      <alignment vertical="center" wrapText="1"/>
    </xf>
    <xf numFmtId="0" fontId="54" fillId="12" borderId="58" xfId="1" applyFont="1" applyFill="1" applyBorder="1" applyAlignment="1">
      <alignment horizontal="center" vertical="center" wrapText="1"/>
    </xf>
    <xf numFmtId="0" fontId="5" fillId="12" borderId="6" xfId="1" applyFill="1" applyBorder="1" applyAlignment="1">
      <alignment vertical="center" wrapText="1"/>
    </xf>
    <xf numFmtId="0" fontId="54" fillId="12" borderId="59" xfId="1" applyFont="1" applyFill="1" applyBorder="1" applyAlignment="1">
      <alignment horizontal="center" vertical="center" wrapText="1"/>
    </xf>
    <xf numFmtId="0" fontId="55" fillId="14" borderId="59" xfId="1" applyFont="1" applyFill="1" applyBorder="1" applyAlignment="1">
      <alignment horizontal="center" vertical="center" wrapText="1"/>
    </xf>
    <xf numFmtId="0" fontId="55" fillId="14" borderId="60" xfId="1" applyFont="1" applyFill="1" applyBorder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11" xfId="1" applyBorder="1" applyAlignment="1">
      <alignment vertical="center"/>
    </xf>
    <xf numFmtId="0" fontId="5" fillId="0" borderId="12" xfId="1" applyBorder="1" applyAlignment="1">
      <alignment vertical="center"/>
    </xf>
    <xf numFmtId="49" fontId="28" fillId="0" borderId="19" xfId="1" applyNumberFormat="1" applyFont="1" applyBorder="1" applyAlignment="1">
      <alignment vertical="center"/>
    </xf>
    <xf numFmtId="0" fontId="5" fillId="0" borderId="13" xfId="1" applyBorder="1" applyAlignment="1">
      <alignment vertical="center"/>
    </xf>
    <xf numFmtId="0" fontId="5" fillId="0" borderId="14" xfId="1" applyBorder="1" applyAlignment="1">
      <alignment vertical="center"/>
    </xf>
    <xf numFmtId="0" fontId="5" fillId="0" borderId="15" xfId="1" applyBorder="1" applyAlignment="1">
      <alignment vertical="center"/>
    </xf>
    <xf numFmtId="0" fontId="10" fillId="5" borderId="13" xfId="1" applyFont="1" applyFill="1" applyBorder="1" applyAlignment="1" applyProtection="1">
      <alignment horizontal="center" vertical="center"/>
      <protection hidden="1"/>
    </xf>
    <xf numFmtId="0" fontId="10" fillId="0" borderId="16" xfId="1" applyFont="1" applyBorder="1" applyAlignment="1" applyProtection="1">
      <alignment horizontal="center" vertical="center"/>
      <protection hidden="1"/>
    </xf>
    <xf numFmtId="0" fontId="10" fillId="0" borderId="18" xfId="1" applyFont="1" applyBorder="1" applyAlignment="1" applyProtection="1">
      <alignment horizontal="center" vertical="center"/>
      <protection hidden="1"/>
    </xf>
    <xf numFmtId="0" fontId="10" fillId="0" borderId="21" xfId="1" applyFont="1" applyBorder="1" applyAlignment="1" applyProtection="1">
      <alignment horizontal="center" vertical="center"/>
      <protection hidden="1"/>
    </xf>
    <xf numFmtId="0" fontId="5" fillId="6" borderId="1" xfId="1" applyFill="1" applyBorder="1" applyAlignment="1" applyProtection="1">
      <alignment horizontal="center" vertical="center"/>
      <protection hidden="1"/>
    </xf>
    <xf numFmtId="0" fontId="5" fillId="6" borderId="22" xfId="1" applyFill="1" applyBorder="1" applyAlignment="1" applyProtection="1">
      <alignment horizontal="center" vertical="center"/>
      <protection hidden="1"/>
    </xf>
    <xf numFmtId="0" fontId="5" fillId="0" borderId="23" xfId="1" applyBorder="1" applyAlignment="1" applyProtection="1">
      <alignment horizontal="center" vertical="center"/>
      <protection hidden="1"/>
    </xf>
    <xf numFmtId="0" fontId="5" fillId="0" borderId="16" xfId="1" applyBorder="1" applyAlignment="1" applyProtection="1">
      <alignment horizontal="center" vertical="center"/>
      <protection hidden="1"/>
    </xf>
    <xf numFmtId="0" fontId="5" fillId="0" borderId="24" xfId="1" applyBorder="1" applyAlignment="1" applyProtection="1">
      <alignment horizontal="center" vertical="center"/>
      <protection hidden="1"/>
    </xf>
    <xf numFmtId="0" fontId="5" fillId="0" borderId="25" xfId="1" applyBorder="1" applyAlignment="1" applyProtection="1">
      <alignment horizontal="center" vertical="center"/>
      <protection hidden="1"/>
    </xf>
    <xf numFmtId="0" fontId="5" fillId="0" borderId="26" xfId="1" applyBorder="1" applyAlignment="1" applyProtection="1">
      <alignment horizontal="center" vertical="center"/>
      <protection hidden="1"/>
    </xf>
    <xf numFmtId="0" fontId="5" fillId="0" borderId="27" xfId="1" applyBorder="1" applyAlignment="1" applyProtection="1">
      <alignment horizontal="center" vertical="center"/>
      <protection hidden="1"/>
    </xf>
    <xf numFmtId="0" fontId="5" fillId="0" borderId="28" xfId="1" applyBorder="1" applyAlignment="1" applyProtection="1">
      <alignment horizontal="center" vertical="center"/>
      <protection hidden="1"/>
    </xf>
    <xf numFmtId="0" fontId="5" fillId="0" borderId="7" xfId="1" applyBorder="1" applyAlignment="1">
      <alignment vertical="center"/>
    </xf>
    <xf numFmtId="0" fontId="5" fillId="0" borderId="17" xfId="1" applyBorder="1" applyAlignment="1">
      <alignment vertical="center"/>
    </xf>
    <xf numFmtId="0" fontId="5" fillId="0" borderId="6" xfId="1" applyBorder="1" applyAlignment="1">
      <alignment vertical="center"/>
    </xf>
    <xf numFmtId="0" fontId="55" fillId="0" borderId="6" xfId="1" applyFont="1" applyBorder="1" applyAlignment="1">
      <alignment vertical="center" wrapText="1"/>
    </xf>
    <xf numFmtId="0" fontId="54" fillId="0" borderId="6" xfId="1" applyFont="1" applyBorder="1" applyAlignment="1">
      <alignment vertical="center" wrapText="1"/>
    </xf>
    <xf numFmtId="0" fontId="5" fillId="0" borderId="6" xfId="1" applyBorder="1" applyAlignment="1">
      <alignment vertical="center" wrapText="1"/>
    </xf>
    <xf numFmtId="0" fontId="10" fillId="0" borderId="6" xfId="1" applyFont="1" applyBorder="1" applyAlignment="1">
      <alignment vertical="center" wrapText="1"/>
    </xf>
    <xf numFmtId="0" fontId="5" fillId="0" borderId="8" xfId="1" applyBorder="1" applyAlignment="1">
      <alignment vertical="center" wrapText="1"/>
    </xf>
    <xf numFmtId="0" fontId="5" fillId="0" borderId="11" xfId="1" applyBorder="1"/>
    <xf numFmtId="49" fontId="28" fillId="0" borderId="20" xfId="1" applyNumberFormat="1" applyFont="1" applyBorder="1" applyAlignment="1">
      <alignment vertical="center"/>
    </xf>
    <xf numFmtId="49" fontId="28" fillId="0" borderId="29" xfId="1" applyNumberFormat="1" applyFont="1" applyBorder="1" applyAlignment="1">
      <alignment vertical="center"/>
    </xf>
    <xf numFmtId="0" fontId="5" fillId="0" borderId="13" xfId="1" applyBorder="1"/>
    <xf numFmtId="0" fontId="5" fillId="0" borderId="15" xfId="1" applyBorder="1"/>
    <xf numFmtId="0" fontId="5" fillId="5" borderId="30" xfId="1" applyFill="1" applyBorder="1" applyAlignment="1" applyProtection="1">
      <alignment horizontal="center"/>
      <protection hidden="1"/>
    </xf>
    <xf numFmtId="0" fontId="5" fillId="7" borderId="31" xfId="1" applyFill="1" applyBorder="1" applyAlignment="1" applyProtection="1">
      <alignment horizontal="center"/>
      <protection hidden="1"/>
    </xf>
    <xf numFmtId="2" fontId="5" fillId="0" borderId="32" xfId="1" applyNumberFormat="1" applyBorder="1" applyAlignment="1" applyProtection="1">
      <alignment horizontal="center"/>
      <protection hidden="1"/>
    </xf>
    <xf numFmtId="168" fontId="5" fillId="0" borderId="33" xfId="1" applyNumberFormat="1" applyBorder="1" applyAlignment="1" applyProtection="1">
      <alignment horizontal="center"/>
      <protection hidden="1"/>
    </xf>
    <xf numFmtId="168" fontId="5" fillId="0" borderId="0" xfId="1" applyNumberFormat="1"/>
    <xf numFmtId="2" fontId="5" fillId="0" borderId="34" xfId="1" applyNumberFormat="1" applyBorder="1" applyAlignment="1" applyProtection="1">
      <alignment horizontal="center"/>
      <protection hidden="1"/>
    </xf>
    <xf numFmtId="168" fontId="5" fillId="0" borderId="35" xfId="1" applyNumberFormat="1" applyBorder="1" applyAlignment="1" applyProtection="1">
      <alignment horizontal="center"/>
      <protection hidden="1"/>
    </xf>
    <xf numFmtId="0" fontId="43" fillId="11" borderId="14" xfId="1" applyFont="1" applyFill="1" applyBorder="1" applyAlignment="1" applyProtection="1">
      <alignment horizontal="center" vertical="center" textRotation="90"/>
      <protection hidden="1"/>
    </xf>
    <xf numFmtId="0" fontId="19" fillId="0" borderId="14" xfId="1" applyFont="1" applyBorder="1" applyAlignment="1" applyProtection="1">
      <alignment horizontal="center" vertical="center" shrinkToFit="1"/>
      <protection hidden="1"/>
    </xf>
    <xf numFmtId="0" fontId="20" fillId="0" borderId="0" xfId="1" applyFont="1" applyAlignment="1" applyProtection="1">
      <alignment horizontal="center" vertical="center" shrinkToFit="1"/>
      <protection hidden="1"/>
    </xf>
    <xf numFmtId="0" fontId="20" fillId="0" borderId="0" xfId="1" applyFont="1" applyAlignment="1" applyProtection="1">
      <alignment horizontal="center" vertical="center"/>
      <protection hidden="1"/>
    </xf>
    <xf numFmtId="0" fontId="20" fillId="0" borderId="14" xfId="1" applyFont="1" applyBorder="1" applyAlignment="1" applyProtection="1">
      <alignment horizontal="center" vertical="center"/>
      <protection hidden="1"/>
    </xf>
    <xf numFmtId="0" fontId="56" fillId="0" borderId="0" xfId="1" applyFont="1" applyAlignment="1" applyProtection="1">
      <alignment vertical="center"/>
      <protection hidden="1"/>
    </xf>
    <xf numFmtId="0" fontId="5" fillId="0" borderId="13" xfId="1" applyBorder="1" applyAlignment="1" applyProtection="1">
      <alignment vertical="center"/>
      <protection hidden="1"/>
    </xf>
    <xf numFmtId="0" fontId="57" fillId="0" borderId="12" xfId="1" applyFont="1" applyBorder="1" applyAlignment="1" applyProtection="1">
      <alignment vertical="center" wrapText="1"/>
      <protection hidden="1"/>
    </xf>
    <xf numFmtId="166" fontId="20" fillId="0" borderId="0" xfId="1" applyNumberFormat="1" applyFont="1" applyAlignment="1" applyProtection="1">
      <alignment horizontal="center" vertical="center" shrinkToFit="1"/>
      <protection hidden="1"/>
    </xf>
    <xf numFmtId="0" fontId="40" fillId="0" borderId="0" xfId="1" applyFont="1" applyAlignment="1" applyProtection="1">
      <alignment horizontal="left" vertical="center" shrinkToFit="1"/>
      <protection hidden="1"/>
    </xf>
    <xf numFmtId="0" fontId="49" fillId="0" borderId="23" xfId="1" applyFont="1" applyBorder="1" applyAlignment="1" applyProtection="1">
      <alignment horizontal="left" vertical="center"/>
      <protection hidden="1"/>
    </xf>
    <xf numFmtId="2" fontId="49" fillId="11" borderId="36" xfId="1" applyNumberFormat="1" applyFont="1" applyFill="1" applyBorder="1" applyAlignment="1">
      <alignment horizontal="center" vertical="center" shrinkToFit="1"/>
    </xf>
    <xf numFmtId="2" fontId="49" fillId="11" borderId="0" xfId="1" applyNumberFormat="1" applyFont="1" applyFill="1" applyAlignment="1">
      <alignment horizontal="center" vertical="center" shrinkToFit="1"/>
    </xf>
    <xf numFmtId="2" fontId="43" fillId="9" borderId="1" xfId="0" applyNumberFormat="1" applyFont="1" applyFill="1" applyBorder="1" applyAlignment="1">
      <alignment horizontal="center" vertical="center" wrapText="1"/>
    </xf>
    <xf numFmtId="0" fontId="5" fillId="0" borderId="0" xfId="1" quotePrefix="1" applyAlignment="1">
      <alignment vertical="center"/>
    </xf>
    <xf numFmtId="0" fontId="5" fillId="0" borderId="0" xfId="1" applyAlignment="1">
      <alignment horizontal="center"/>
    </xf>
    <xf numFmtId="0" fontId="11" fillId="10" borderId="2" xfId="0" applyFont="1" applyFill="1" applyBorder="1" applyAlignment="1" applyProtection="1">
      <alignment horizontal="center" vertical="center"/>
      <protection hidden="1"/>
    </xf>
    <xf numFmtId="0" fontId="43" fillId="12" borderId="19" xfId="0" applyFont="1" applyFill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0" xfId="1" applyFont="1" applyAlignment="1" applyProtection="1">
      <alignment horizontal="right" vertical="center"/>
      <protection hidden="1"/>
    </xf>
    <xf numFmtId="0" fontId="42" fillId="0" borderId="0" xfId="1" applyFont="1" applyAlignment="1" applyProtection="1">
      <alignment horizontal="center" vertical="center"/>
      <protection hidden="1"/>
    </xf>
    <xf numFmtId="169" fontId="49" fillId="11" borderId="36" xfId="3" applyNumberFormat="1" applyFont="1" applyFill="1" applyBorder="1" applyAlignment="1" applyProtection="1">
      <alignment horizontal="center" vertical="center" shrinkToFit="1"/>
    </xf>
    <xf numFmtId="0" fontId="5" fillId="0" borderId="0" xfId="1" applyAlignment="1" applyProtection="1">
      <alignment horizontal="center" vertical="center" shrinkToFit="1"/>
      <protection hidden="1"/>
    </xf>
    <xf numFmtId="0" fontId="5" fillId="0" borderId="15" xfId="1" applyBorder="1" applyAlignment="1" applyProtection="1">
      <alignment vertical="center" shrinkToFit="1"/>
      <protection hidden="1"/>
    </xf>
    <xf numFmtId="0" fontId="5" fillId="0" borderId="29" xfId="1" applyBorder="1" applyAlignment="1">
      <alignment horizontal="center" vertical="center" wrapText="1"/>
    </xf>
    <xf numFmtId="0" fontId="61" fillId="0" borderId="0" xfId="4" applyProtection="1"/>
    <xf numFmtId="0" fontId="55" fillId="14" borderId="64" xfId="1" applyFont="1" applyFill="1" applyBorder="1" applyAlignment="1">
      <alignment vertical="center" wrapText="1"/>
    </xf>
    <xf numFmtId="0" fontId="55" fillId="14" borderId="68" xfId="1" applyFont="1" applyFill="1" applyBorder="1" applyAlignment="1">
      <alignment vertical="center" wrapText="1"/>
    </xf>
    <xf numFmtId="0" fontId="55" fillId="14" borderId="20" xfId="1" applyFont="1" applyFill="1" applyBorder="1" applyAlignment="1">
      <alignment horizontal="left" vertical="center" wrapText="1"/>
    </xf>
    <xf numFmtId="0" fontId="55" fillId="14" borderId="53" xfId="1" applyFont="1" applyFill="1" applyBorder="1" applyAlignment="1">
      <alignment horizontal="left" vertical="center" wrapText="1"/>
    </xf>
    <xf numFmtId="0" fontId="55" fillId="17" borderId="6" xfId="1" applyFont="1" applyFill="1" applyBorder="1" applyAlignment="1">
      <alignment horizontal="center" vertical="center" wrapText="1"/>
    </xf>
    <xf numFmtId="0" fontId="55" fillId="17" borderId="20" xfId="1" applyFont="1" applyFill="1" applyBorder="1" applyAlignment="1">
      <alignment horizontal="center" vertical="center" wrapText="1"/>
    </xf>
    <xf numFmtId="0" fontId="55" fillId="17" borderId="59" xfId="1" applyFont="1" applyFill="1" applyBorder="1" applyAlignment="1">
      <alignment horizontal="center" vertical="center" wrapText="1"/>
    </xf>
    <xf numFmtId="0" fontId="55" fillId="17" borderId="64" xfId="1" applyFont="1" applyFill="1" applyBorder="1" applyAlignment="1">
      <alignment vertical="center" wrapText="1"/>
    </xf>
    <xf numFmtId="0" fontId="55" fillId="17" borderId="20" xfId="1" applyFont="1" applyFill="1" applyBorder="1" applyAlignment="1">
      <alignment horizontal="left" vertical="center" wrapText="1"/>
    </xf>
    <xf numFmtId="0" fontId="5" fillId="17" borderId="7" xfId="1" applyFill="1" applyBorder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57" fillId="0" borderId="0" xfId="1" applyFont="1" applyAlignment="1" applyProtection="1">
      <alignment horizontal="center" vertical="center" wrapText="1"/>
      <protection hidden="1"/>
    </xf>
    <xf numFmtId="0" fontId="5" fillId="17" borderId="6" xfId="1" applyFill="1" applyBorder="1" applyAlignment="1">
      <alignment horizontal="center" vertical="center" wrapText="1"/>
    </xf>
    <xf numFmtId="0" fontId="42" fillId="11" borderId="37" xfId="0" applyFont="1" applyFill="1" applyBorder="1" applyAlignment="1">
      <alignment horizontal="center" vertical="center" wrapText="1"/>
    </xf>
    <xf numFmtId="0" fontId="57" fillId="0" borderId="0" xfId="1" applyFont="1" applyAlignment="1" applyProtection="1">
      <alignment vertical="center" wrapText="1"/>
      <protection hidden="1"/>
    </xf>
    <xf numFmtId="0" fontId="15" fillId="0" borderId="14" xfId="1" applyFont="1" applyBorder="1" applyAlignment="1" applyProtection="1">
      <alignment horizontal="right" vertical="center"/>
      <protection hidden="1"/>
    </xf>
    <xf numFmtId="169" fontId="49" fillId="11" borderId="0" xfId="3" applyNumberFormat="1" applyFont="1" applyFill="1" applyBorder="1" applyAlignment="1" applyProtection="1">
      <alignment horizontal="center" vertical="center" shrinkToFit="1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0" fillId="9" borderId="1" xfId="1" applyFont="1" applyFill="1" applyBorder="1" applyAlignment="1" applyProtection="1">
      <alignment horizontal="center" vertical="center"/>
      <protection locked="0" hidden="1"/>
    </xf>
    <xf numFmtId="0" fontId="42" fillId="18" borderId="1" xfId="0" applyFont="1" applyFill="1" applyBorder="1" applyAlignment="1" applyProtection="1">
      <alignment horizontal="center" vertical="center" wrapText="1"/>
      <protection hidden="1"/>
    </xf>
    <xf numFmtId="43" fontId="43" fillId="18" borderId="1" xfId="3" applyFont="1" applyFill="1" applyBorder="1" applyAlignment="1" applyProtection="1">
      <alignment horizontal="center" vertical="center" wrapText="1"/>
      <protection hidden="1"/>
    </xf>
    <xf numFmtId="2" fontId="42" fillId="18" borderId="1" xfId="0" applyNumberFormat="1" applyFont="1" applyFill="1" applyBorder="1" applyAlignment="1" applyProtection="1">
      <alignment horizontal="center" vertical="center" wrapText="1"/>
      <protection hidden="1"/>
    </xf>
    <xf numFmtId="170" fontId="43" fillId="18" borderId="1" xfId="3" applyNumberFormat="1" applyFont="1" applyFill="1" applyBorder="1" applyAlignment="1" applyProtection="1">
      <alignment horizontal="center" vertical="center" wrapText="1"/>
      <protection hidden="1"/>
    </xf>
    <xf numFmtId="0" fontId="0" fillId="20" borderId="71" xfId="0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0" fontId="48" fillId="19" borderId="1" xfId="0" applyFont="1" applyFill="1" applyBorder="1" applyAlignment="1">
      <alignment horizontal="center" vertical="center" wrapText="1"/>
    </xf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45" fillId="0" borderId="81" xfId="0" applyFont="1" applyBorder="1" applyAlignment="1">
      <alignment horizontal="center" vertical="center" wrapText="1"/>
    </xf>
    <xf numFmtId="0" fontId="48" fillId="19" borderId="82" xfId="0" applyFont="1" applyFill="1" applyBorder="1" applyAlignment="1">
      <alignment horizontal="center" vertical="center" wrapText="1"/>
    </xf>
    <xf numFmtId="0" fontId="48" fillId="19" borderId="83" xfId="0" applyFont="1" applyFill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2" fontId="42" fillId="18" borderId="83" xfId="0" applyNumberFormat="1" applyFont="1" applyFill="1" applyBorder="1" applyAlignment="1" applyProtection="1">
      <alignment horizontal="center" vertical="center" wrapText="1"/>
      <protection hidden="1"/>
    </xf>
    <xf numFmtId="43" fontId="43" fillId="18" borderId="83" xfId="3" applyFont="1" applyFill="1" applyBorder="1" applyAlignment="1" applyProtection="1">
      <alignment horizontal="center" vertical="center" wrapText="1"/>
      <protection hidden="1"/>
    </xf>
    <xf numFmtId="2" fontId="43" fillId="11" borderId="81" xfId="0" applyNumberFormat="1" applyFont="1" applyFill="1" applyBorder="1" applyAlignment="1">
      <alignment horizontal="center" vertical="center" wrapText="1"/>
    </xf>
    <xf numFmtId="0" fontId="49" fillId="0" borderId="14" xfId="1" applyFont="1" applyBorder="1" applyAlignment="1" applyProtection="1">
      <alignment vertical="center"/>
      <protection hidden="1"/>
    </xf>
    <xf numFmtId="0" fontId="68" fillId="0" borderId="14" xfId="1" applyFont="1" applyBorder="1" applyAlignment="1" applyProtection="1">
      <alignment vertical="center"/>
      <protection hidden="1"/>
    </xf>
    <xf numFmtId="0" fontId="5" fillId="20" borderId="0" xfId="1" applyFill="1" applyAlignment="1" applyProtection="1">
      <alignment horizontal="left" vertical="center"/>
      <protection hidden="1"/>
    </xf>
    <xf numFmtId="0" fontId="5" fillId="20" borderId="0" xfId="1" applyFill="1" applyAlignment="1" applyProtection="1">
      <alignment horizontal="right" vertical="center"/>
      <protection hidden="1"/>
    </xf>
    <xf numFmtId="0" fontId="5" fillId="20" borderId="0" xfId="1" applyFill="1" applyAlignment="1" applyProtection="1">
      <alignment horizontal="center" vertical="center"/>
      <protection hidden="1"/>
    </xf>
    <xf numFmtId="0" fontId="5" fillId="20" borderId="0" xfId="1" applyFill="1" applyAlignment="1" applyProtection="1">
      <alignment vertical="center"/>
      <protection hidden="1"/>
    </xf>
    <xf numFmtId="0" fontId="5" fillId="11" borderId="0" xfId="1" applyFill="1" applyAlignment="1" applyProtection="1">
      <alignment vertical="center"/>
      <protection hidden="1"/>
    </xf>
    <xf numFmtId="0" fontId="64" fillId="19" borderId="11" xfId="1" applyFont="1" applyFill="1" applyBorder="1" applyAlignment="1" applyProtection="1">
      <alignment vertical="center"/>
      <protection hidden="1"/>
    </xf>
    <xf numFmtId="0" fontId="65" fillId="19" borderId="12" xfId="1" applyFont="1" applyFill="1" applyBorder="1" applyAlignment="1" applyProtection="1">
      <alignment vertical="center"/>
      <protection hidden="1"/>
    </xf>
    <xf numFmtId="0" fontId="67" fillId="19" borderId="12" xfId="1" applyFont="1" applyFill="1" applyBorder="1" applyAlignment="1" applyProtection="1">
      <alignment vertical="center"/>
      <protection hidden="1"/>
    </xf>
    <xf numFmtId="0" fontId="67" fillId="19" borderId="13" xfId="1" applyFont="1" applyFill="1" applyBorder="1" applyAlignment="1" applyProtection="1">
      <alignment vertical="center"/>
      <protection hidden="1"/>
    </xf>
    <xf numFmtId="0" fontId="64" fillId="19" borderId="12" xfId="1" applyFont="1" applyFill="1" applyBorder="1" applyAlignment="1" applyProtection="1">
      <alignment vertical="center"/>
      <protection hidden="1"/>
    </xf>
    <xf numFmtId="0" fontId="66" fillId="19" borderId="15" xfId="1" applyFont="1" applyFill="1" applyBorder="1" applyAlignment="1" applyProtection="1">
      <alignment horizontal="left" vertical="center"/>
      <protection hidden="1"/>
    </xf>
    <xf numFmtId="0" fontId="64" fillId="19" borderId="13" xfId="1" applyFont="1" applyFill="1" applyBorder="1" applyAlignment="1" applyProtection="1">
      <alignment vertical="center"/>
      <protection hidden="1"/>
    </xf>
    <xf numFmtId="0" fontId="65" fillId="19" borderId="13" xfId="1" applyFont="1" applyFill="1" applyBorder="1" applyAlignment="1" applyProtection="1">
      <alignment vertical="center"/>
      <protection hidden="1"/>
    </xf>
    <xf numFmtId="0" fontId="75" fillId="0" borderId="16" xfId="1" applyFont="1" applyBorder="1" applyAlignment="1" applyProtection="1">
      <alignment horizontal="left" vertical="center" shrinkToFit="1"/>
      <protection hidden="1"/>
    </xf>
    <xf numFmtId="0" fontId="76" fillId="0" borderId="16" xfId="1" applyFont="1" applyBorder="1" applyAlignment="1" applyProtection="1">
      <alignment horizontal="left" vertical="center"/>
      <protection hidden="1"/>
    </xf>
    <xf numFmtId="0" fontId="75" fillId="0" borderId="1" xfId="1" applyFont="1" applyBorder="1" applyAlignment="1" applyProtection="1">
      <alignment horizontal="center" vertical="center"/>
      <protection hidden="1"/>
    </xf>
    <xf numFmtId="0" fontId="64" fillId="19" borderId="11" xfId="1" applyFont="1" applyFill="1" applyBorder="1" applyAlignment="1">
      <alignment vertical="center"/>
    </xf>
    <xf numFmtId="0" fontId="55" fillId="13" borderId="87" xfId="0" applyFont="1" applyFill="1" applyBorder="1" applyAlignment="1">
      <alignment horizontal="center" vertical="center" wrapText="1"/>
    </xf>
    <xf numFmtId="0" fontId="55" fillId="13" borderId="88" xfId="0" applyFont="1" applyFill="1" applyBorder="1" applyAlignment="1">
      <alignment horizontal="center" vertical="center" wrapText="1"/>
    </xf>
    <xf numFmtId="0" fontId="77" fillId="0" borderId="15" xfId="1" applyFont="1" applyBorder="1" applyAlignment="1" applyProtection="1">
      <alignment horizontal="left" vertical="center"/>
      <protection hidden="1"/>
    </xf>
    <xf numFmtId="0" fontId="43" fillId="0" borderId="84" xfId="0" applyFont="1" applyBorder="1" applyAlignment="1">
      <alignment vertical="center" wrapText="1"/>
    </xf>
    <xf numFmtId="0" fontId="43" fillId="0" borderId="85" xfId="0" applyFont="1" applyBorder="1" applyAlignment="1">
      <alignment vertical="center" wrapText="1"/>
    </xf>
    <xf numFmtId="0" fontId="43" fillId="0" borderId="86" xfId="0" applyFont="1" applyBorder="1" applyAlignment="1">
      <alignment vertical="center" wrapText="1"/>
    </xf>
    <xf numFmtId="0" fontId="48" fillId="19" borderId="78" xfId="0" applyFont="1" applyFill="1" applyBorder="1" applyAlignment="1">
      <alignment horizontal="center" vertical="center"/>
    </xf>
    <xf numFmtId="0" fontId="48" fillId="19" borderId="74" xfId="0" applyFont="1" applyFill="1" applyBorder="1" applyAlignment="1">
      <alignment horizontal="center" vertical="center"/>
    </xf>
    <xf numFmtId="0" fontId="48" fillId="19" borderId="79" xfId="0" applyFont="1" applyFill="1" applyBorder="1" applyAlignment="1">
      <alignment horizontal="center" vertical="center"/>
    </xf>
    <xf numFmtId="0" fontId="48" fillId="19" borderId="80" xfId="0" applyFont="1" applyFill="1" applyBorder="1" applyAlignment="1">
      <alignment horizontal="left" vertical="center" wrapText="1"/>
    </xf>
    <xf numFmtId="0" fontId="48" fillId="19" borderId="2" xfId="0" applyFont="1" applyFill="1" applyBorder="1" applyAlignment="1">
      <alignment horizontal="left" vertical="center" wrapText="1"/>
    </xf>
    <xf numFmtId="0" fontId="48" fillId="19" borderId="3" xfId="0" applyFont="1" applyFill="1" applyBorder="1" applyAlignment="1">
      <alignment horizontal="left" vertical="center" wrapText="1"/>
    </xf>
    <xf numFmtId="0" fontId="48" fillId="19" borderId="80" xfId="0" applyFont="1" applyFill="1" applyBorder="1" applyAlignment="1">
      <alignment horizontal="center" vertical="center" wrapText="1"/>
    </xf>
    <xf numFmtId="0" fontId="48" fillId="19" borderId="2" xfId="0" applyFont="1" applyFill="1" applyBorder="1" applyAlignment="1">
      <alignment horizontal="center" vertical="center" wrapText="1"/>
    </xf>
    <xf numFmtId="0" fontId="48" fillId="19" borderId="3" xfId="0" applyFont="1" applyFill="1" applyBorder="1" applyAlignment="1">
      <alignment horizontal="center" vertical="center" wrapText="1"/>
    </xf>
    <xf numFmtId="0" fontId="42" fillId="21" borderId="80" xfId="0" applyFont="1" applyFill="1" applyBorder="1" applyAlignment="1">
      <alignment horizontal="center" vertical="center" wrapText="1"/>
    </xf>
    <xf numFmtId="0" fontId="42" fillId="21" borderId="2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1" xfId="0" applyBorder="1" applyAlignment="1">
      <alignment horizontal="center"/>
    </xf>
    <xf numFmtId="49" fontId="48" fillId="19" borderId="38" xfId="1" applyNumberFormat="1" applyFont="1" applyFill="1" applyBorder="1" applyAlignment="1" applyProtection="1">
      <alignment horizontal="center" vertical="center" textRotation="90" shrinkToFit="1"/>
      <protection hidden="1"/>
    </xf>
    <xf numFmtId="49" fontId="48" fillId="19" borderId="39" xfId="1" applyNumberFormat="1" applyFont="1" applyFill="1" applyBorder="1" applyAlignment="1" applyProtection="1">
      <alignment horizontal="center" vertical="center" textRotation="90" shrinkToFit="1"/>
      <protection hidden="1"/>
    </xf>
    <xf numFmtId="49" fontId="48" fillId="19" borderId="37" xfId="1" applyNumberFormat="1" applyFont="1" applyFill="1" applyBorder="1" applyAlignment="1" applyProtection="1">
      <alignment horizontal="center" vertical="center" textRotation="90" shrinkToFit="1"/>
      <protection hidden="1"/>
    </xf>
    <xf numFmtId="0" fontId="19" fillId="0" borderId="14" xfId="1" applyFont="1" applyBorder="1" applyAlignment="1" applyProtection="1">
      <alignment horizontal="center" vertical="center" shrinkToFit="1"/>
      <protection hidden="1"/>
    </xf>
    <xf numFmtId="0" fontId="19" fillId="0" borderId="0" xfId="1" applyFont="1" applyAlignment="1" applyProtection="1">
      <alignment horizontal="center" vertical="center" shrinkToFit="1"/>
      <protection hidden="1"/>
    </xf>
    <xf numFmtId="0" fontId="63" fillId="19" borderId="12" xfId="1" applyFont="1" applyFill="1" applyBorder="1" applyAlignment="1" applyProtection="1">
      <alignment horizontal="left" vertical="center" shrinkToFit="1"/>
      <protection hidden="1"/>
    </xf>
    <xf numFmtId="0" fontId="19" fillId="0" borderId="14" xfId="1" applyFont="1" applyBorder="1" applyAlignment="1" applyProtection="1">
      <alignment horizontal="left" vertical="center" shrinkToFit="1"/>
      <protection hidden="1"/>
    </xf>
    <xf numFmtId="0" fontId="19" fillId="0" borderId="0" xfId="1" applyFont="1" applyAlignment="1" applyProtection="1">
      <alignment horizontal="left" vertical="center" shrinkToFit="1"/>
      <protection hidden="1"/>
    </xf>
    <xf numFmtId="0" fontId="21" fillId="0" borderId="0" xfId="1" applyFont="1" applyAlignment="1" applyProtection="1">
      <alignment horizontal="center" vertical="center" wrapText="1"/>
      <protection hidden="1"/>
    </xf>
    <xf numFmtId="0" fontId="19" fillId="0" borderId="14" xfId="1" applyFont="1" applyBorder="1" applyAlignment="1" applyProtection="1">
      <alignment horizontal="center" vertical="center" wrapText="1" shrinkToFit="1"/>
      <protection hidden="1"/>
    </xf>
    <xf numFmtId="0" fontId="48" fillId="19" borderId="11" xfId="1" applyFont="1" applyFill="1" applyBorder="1" applyAlignment="1" applyProtection="1">
      <alignment horizontal="center" vertical="center" textRotation="90" shrinkToFit="1"/>
      <protection hidden="1"/>
    </xf>
    <xf numFmtId="0" fontId="48" fillId="19" borderId="14" xfId="1" applyFont="1" applyFill="1" applyBorder="1" applyAlignment="1" applyProtection="1">
      <alignment horizontal="center" vertical="center" textRotation="90" shrinkToFit="1"/>
      <protection hidden="1"/>
    </xf>
    <xf numFmtId="0" fontId="15" fillId="0" borderId="14" xfId="1" applyFont="1" applyBorder="1" applyAlignment="1" applyProtection="1">
      <alignment horizontal="left" vertical="center"/>
      <protection hidden="1"/>
    </xf>
    <xf numFmtId="0" fontId="15" fillId="0" borderId="0" xfId="1" applyFont="1" applyAlignment="1" applyProtection="1">
      <alignment horizontal="left" vertical="center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9" fillId="0" borderId="14" xfId="1" applyFont="1" applyBorder="1" applyAlignment="1" applyProtection="1">
      <alignment horizontal="left" vertical="center" wrapText="1" shrinkToFit="1"/>
      <protection hidden="1"/>
    </xf>
    <xf numFmtId="0" fontId="19" fillId="0" borderId="0" xfId="1" applyFont="1" applyAlignment="1" applyProtection="1">
      <alignment horizontal="left" vertical="center" wrapText="1" shrinkToFit="1"/>
      <protection hidden="1"/>
    </xf>
    <xf numFmtId="49" fontId="48" fillId="19" borderId="38" xfId="1" applyNumberFormat="1" applyFont="1" applyFill="1" applyBorder="1" applyAlignment="1" applyProtection="1">
      <alignment horizontal="center" vertical="center" textRotation="90"/>
      <protection hidden="1"/>
    </xf>
    <xf numFmtId="49" fontId="48" fillId="19" borderId="39" xfId="1" applyNumberFormat="1" applyFont="1" applyFill="1" applyBorder="1" applyAlignment="1" applyProtection="1">
      <alignment horizontal="center" vertical="center" textRotation="90"/>
      <protection hidden="1"/>
    </xf>
    <xf numFmtId="49" fontId="48" fillId="19" borderId="37" xfId="1" applyNumberFormat="1" applyFont="1" applyFill="1" applyBorder="1" applyAlignment="1" applyProtection="1">
      <alignment horizontal="center" vertical="center" textRotation="90"/>
      <protection hidden="1"/>
    </xf>
    <xf numFmtId="0" fontId="70" fillId="0" borderId="14" xfId="1" applyFont="1" applyBorder="1" applyAlignment="1" applyProtection="1">
      <alignment horizontal="left" vertical="center" wrapText="1"/>
      <protection hidden="1"/>
    </xf>
    <xf numFmtId="0" fontId="70" fillId="0" borderId="0" xfId="1" applyFont="1" applyAlignment="1" applyProtection="1">
      <alignment horizontal="left" vertical="center" wrapText="1"/>
      <protection hidden="1"/>
    </xf>
    <xf numFmtId="0" fontId="20" fillId="0" borderId="0" xfId="1" applyFont="1" applyAlignment="1" applyProtection="1">
      <alignment horizontal="left" vertical="center" shrinkToFit="1"/>
      <protection hidden="1"/>
    </xf>
    <xf numFmtId="0" fontId="70" fillId="0" borderId="17" xfId="1" applyFont="1" applyBorder="1" applyAlignment="1" applyProtection="1">
      <alignment horizontal="left" vertical="center" wrapText="1"/>
      <protection hidden="1"/>
    </xf>
    <xf numFmtId="0" fontId="70" fillId="0" borderId="7" xfId="1" applyFont="1" applyBorder="1" applyAlignment="1" applyProtection="1">
      <alignment horizontal="left" vertical="center" wrapText="1"/>
      <protection hidden="1"/>
    </xf>
    <xf numFmtId="0" fontId="69" fillId="11" borderId="48" xfId="1" applyFont="1" applyFill="1" applyBorder="1" applyAlignment="1" applyProtection="1">
      <alignment horizontal="center" vertical="center" shrinkToFit="1"/>
      <protection hidden="1"/>
    </xf>
    <xf numFmtId="0" fontId="69" fillId="11" borderId="20" xfId="1" applyFont="1" applyFill="1" applyBorder="1" applyAlignment="1" applyProtection="1">
      <alignment horizontal="center" vertical="center" shrinkToFit="1"/>
      <protection hidden="1"/>
    </xf>
    <xf numFmtId="0" fontId="69" fillId="11" borderId="29" xfId="1" applyFont="1" applyFill="1" applyBorder="1" applyAlignment="1" applyProtection="1">
      <alignment horizontal="center" vertical="center" shrinkToFit="1"/>
      <protection hidden="1"/>
    </xf>
    <xf numFmtId="0" fontId="74" fillId="0" borderId="49" xfId="1" applyFont="1" applyBorder="1" applyAlignment="1" applyProtection="1">
      <alignment horizontal="left" vertical="center"/>
      <protection hidden="1"/>
    </xf>
    <xf numFmtId="0" fontId="74" fillId="0" borderId="50" xfId="1" applyFont="1" applyBorder="1" applyAlignment="1" applyProtection="1">
      <alignment horizontal="left" vertical="center"/>
      <protection hidden="1"/>
    </xf>
    <xf numFmtId="0" fontId="47" fillId="9" borderId="40" xfId="1" applyFont="1" applyFill="1" applyBorder="1" applyAlignment="1" applyProtection="1">
      <alignment horizontal="left" vertical="center" shrinkToFit="1"/>
      <protection locked="0"/>
    </xf>
    <xf numFmtId="0" fontId="47" fillId="9" borderId="41" xfId="1" applyFont="1" applyFill="1" applyBorder="1" applyAlignment="1" applyProtection="1">
      <alignment horizontal="left" vertical="center" shrinkToFit="1"/>
      <protection locked="0"/>
    </xf>
    <xf numFmtId="0" fontId="47" fillId="9" borderId="42" xfId="1" applyFont="1" applyFill="1" applyBorder="1" applyAlignment="1" applyProtection="1">
      <alignment horizontal="left" vertical="center" shrinkToFit="1"/>
      <protection locked="0"/>
    </xf>
    <xf numFmtId="0" fontId="47" fillId="9" borderId="43" xfId="1" applyFont="1" applyFill="1" applyBorder="1" applyAlignment="1" applyProtection="1">
      <alignment horizontal="left" vertical="center" shrinkToFit="1"/>
      <protection locked="0"/>
    </xf>
    <xf numFmtId="0" fontId="47" fillId="9" borderId="44" xfId="1" applyFont="1" applyFill="1" applyBorder="1" applyAlignment="1" applyProtection="1">
      <alignment horizontal="left" vertical="center" shrinkToFit="1"/>
      <protection locked="0"/>
    </xf>
    <xf numFmtId="0" fontId="47" fillId="9" borderId="45" xfId="1" applyFont="1" applyFill="1" applyBorder="1" applyAlignment="1" applyProtection="1">
      <alignment horizontal="left" vertical="center" shrinkToFit="1"/>
      <protection locked="0"/>
    </xf>
    <xf numFmtId="0" fontId="48" fillId="19" borderId="38" xfId="1" applyFont="1" applyFill="1" applyBorder="1" applyAlignment="1" applyProtection="1">
      <alignment horizontal="center" vertical="center" textRotation="90" wrapText="1"/>
      <protection hidden="1"/>
    </xf>
    <xf numFmtId="0" fontId="48" fillId="19" borderId="39" xfId="1" applyFont="1" applyFill="1" applyBorder="1" applyAlignment="1" applyProtection="1">
      <alignment horizontal="center" vertical="center" textRotation="90" wrapText="1"/>
      <protection hidden="1"/>
    </xf>
    <xf numFmtId="0" fontId="48" fillId="19" borderId="37" xfId="1" applyFont="1" applyFill="1" applyBorder="1" applyAlignment="1" applyProtection="1">
      <alignment horizontal="center" vertical="center" textRotation="90" wrapText="1"/>
      <protection hidden="1"/>
    </xf>
    <xf numFmtId="0" fontId="72" fillId="0" borderId="46" xfId="1" applyFont="1" applyBorder="1" applyAlignment="1" applyProtection="1">
      <alignment horizontal="center" vertical="center" wrapText="1"/>
      <protection hidden="1"/>
    </xf>
    <xf numFmtId="0" fontId="72" fillId="0" borderId="47" xfId="1" applyFont="1" applyBorder="1" applyAlignment="1" applyProtection="1">
      <alignment horizontal="center" vertical="center" wrapText="1"/>
      <protection hidden="1"/>
    </xf>
    <xf numFmtId="0" fontId="59" fillId="15" borderId="10" xfId="1" applyFont="1" applyFill="1" applyBorder="1" applyAlignment="1">
      <alignment horizontal="center" vertical="center"/>
    </xf>
    <xf numFmtId="0" fontId="59" fillId="15" borderId="3" xfId="1" applyFont="1" applyFill="1" applyBorder="1" applyAlignment="1">
      <alignment horizontal="center" vertical="center"/>
    </xf>
    <xf numFmtId="0" fontId="15" fillId="0" borderId="7" xfId="1" applyFont="1" applyBorder="1" applyAlignment="1" applyProtection="1">
      <alignment horizontal="center" vertical="center"/>
      <protection hidden="1"/>
    </xf>
    <xf numFmtId="0" fontId="57" fillId="0" borderId="46" xfId="1" applyFont="1" applyBorder="1" applyAlignment="1" applyProtection="1">
      <alignment horizontal="left" vertical="center" wrapText="1"/>
      <protection hidden="1"/>
    </xf>
    <xf numFmtId="0" fontId="57" fillId="0" borderId="12" xfId="1" applyFont="1" applyBorder="1" applyAlignment="1" applyProtection="1">
      <alignment horizontal="left" vertical="center" wrapText="1"/>
      <protection hidden="1"/>
    </xf>
    <xf numFmtId="0" fontId="72" fillId="0" borderId="0" xfId="1" applyFont="1" applyAlignment="1" applyProtection="1">
      <alignment horizontal="left" vertical="center" wrapText="1"/>
      <protection hidden="1"/>
    </xf>
    <xf numFmtId="0" fontId="72" fillId="0" borderId="15" xfId="1" applyFont="1" applyBorder="1" applyAlignment="1" applyProtection="1">
      <alignment horizontal="left" vertical="center" wrapText="1"/>
      <protection hidden="1"/>
    </xf>
    <xf numFmtId="0" fontId="20" fillId="0" borderId="0" xfId="1" applyFont="1" applyAlignment="1" applyProtection="1">
      <alignment horizontal="center" vertical="center"/>
      <protection hidden="1"/>
    </xf>
    <xf numFmtId="0" fontId="58" fillId="0" borderId="0" xfId="1" applyFont="1" applyAlignment="1" applyProtection="1">
      <alignment horizontal="center"/>
      <protection hidden="1"/>
    </xf>
    <xf numFmtId="0" fontId="48" fillId="19" borderId="11" xfId="1" applyFont="1" applyFill="1" applyBorder="1" applyAlignment="1" applyProtection="1">
      <alignment horizontal="center" vertical="center" textRotation="90"/>
      <protection hidden="1"/>
    </xf>
    <xf numFmtId="0" fontId="48" fillId="19" borderId="14" xfId="1" applyFont="1" applyFill="1" applyBorder="1" applyAlignment="1" applyProtection="1">
      <alignment horizontal="center" vertical="center" textRotation="90"/>
      <protection hidden="1"/>
    </xf>
    <xf numFmtId="0" fontId="48" fillId="19" borderId="17" xfId="1" applyFont="1" applyFill="1" applyBorder="1" applyAlignment="1" applyProtection="1">
      <alignment horizontal="center" vertical="center" textRotation="90"/>
      <protection hidden="1"/>
    </xf>
    <xf numFmtId="0" fontId="62" fillId="0" borderId="0" xfId="1" applyFont="1" applyAlignment="1" applyProtection="1">
      <alignment horizontal="center" vertical="center" shrinkToFit="1"/>
      <protection hidden="1"/>
    </xf>
    <xf numFmtId="0" fontId="43" fillId="11" borderId="11" xfId="1" applyFont="1" applyFill="1" applyBorder="1" applyAlignment="1" applyProtection="1">
      <alignment horizontal="center" vertical="center" textRotation="90"/>
      <protection hidden="1"/>
    </xf>
    <xf numFmtId="0" fontId="43" fillId="11" borderId="14" xfId="1" applyFont="1" applyFill="1" applyBorder="1" applyAlignment="1" applyProtection="1">
      <alignment horizontal="center" vertical="center" textRotation="90"/>
      <protection hidden="1"/>
    </xf>
    <xf numFmtId="0" fontId="43" fillId="11" borderId="17" xfId="1" applyFont="1" applyFill="1" applyBorder="1" applyAlignment="1" applyProtection="1">
      <alignment horizontal="center" vertical="center" textRotation="90"/>
      <protection hidden="1"/>
    </xf>
    <xf numFmtId="0" fontId="29" fillId="0" borderId="14" xfId="1" applyFont="1" applyBorder="1" applyAlignment="1" applyProtection="1">
      <alignment horizontal="left" vertical="center"/>
      <protection hidden="1"/>
    </xf>
    <xf numFmtId="0" fontId="29" fillId="0" borderId="0" xfId="1" applyFont="1" applyAlignment="1" applyProtection="1">
      <alignment horizontal="left" vertical="center"/>
      <protection hidden="1"/>
    </xf>
    <xf numFmtId="0" fontId="29" fillId="0" borderId="15" xfId="1" applyFont="1" applyBorder="1" applyAlignment="1" applyProtection="1">
      <alignment horizontal="left" vertical="center"/>
      <protection hidden="1"/>
    </xf>
    <xf numFmtId="0" fontId="29" fillId="0" borderId="17" xfId="1" applyFont="1" applyBorder="1" applyAlignment="1" applyProtection="1">
      <alignment horizontal="left" vertical="center"/>
      <protection hidden="1"/>
    </xf>
    <xf numFmtId="0" fontId="29" fillId="0" borderId="7" xfId="1" applyFont="1" applyBorder="1" applyAlignment="1" applyProtection="1">
      <alignment horizontal="left" vertical="center"/>
      <protection hidden="1"/>
    </xf>
    <xf numFmtId="0" fontId="29" fillId="0" borderId="6" xfId="1" applyFont="1" applyBorder="1" applyAlignment="1" applyProtection="1">
      <alignment horizontal="left" vertical="center"/>
      <protection hidden="1"/>
    </xf>
    <xf numFmtId="0" fontId="48" fillId="19" borderId="38" xfId="1" applyFont="1" applyFill="1" applyBorder="1" applyAlignment="1" applyProtection="1">
      <alignment horizontal="center" vertical="center" textRotation="90"/>
      <protection hidden="1"/>
    </xf>
    <xf numFmtId="0" fontId="48" fillId="19" borderId="39" xfId="1" applyFont="1" applyFill="1" applyBorder="1" applyAlignment="1" applyProtection="1">
      <alignment horizontal="center" vertical="center" textRotation="90"/>
      <protection hidden="1"/>
    </xf>
    <xf numFmtId="0" fontId="48" fillId="19" borderId="37" xfId="1" applyFont="1" applyFill="1" applyBorder="1" applyAlignment="1" applyProtection="1">
      <alignment horizontal="center" vertical="center" textRotation="90"/>
      <protection hidden="1"/>
    </xf>
    <xf numFmtId="0" fontId="5" fillId="0" borderId="0" xfId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center" vertical="center"/>
      <protection hidden="1"/>
    </xf>
    <xf numFmtId="0" fontId="75" fillId="0" borderId="0" xfId="1" applyFont="1" applyAlignment="1" applyProtection="1">
      <alignment horizontal="center" vertical="center" shrinkToFit="1"/>
      <protection hidden="1"/>
    </xf>
    <xf numFmtId="12" fontId="60" fillId="0" borderId="0" xfId="1" applyNumberFormat="1" applyFont="1" applyAlignment="1" applyProtection="1">
      <alignment horizontal="center" vertical="center" wrapText="1"/>
      <protection hidden="1"/>
    </xf>
    <xf numFmtId="12" fontId="60" fillId="0" borderId="15" xfId="1" applyNumberFormat="1" applyFont="1" applyBorder="1" applyAlignment="1" applyProtection="1">
      <alignment horizontal="center" vertical="center" wrapText="1"/>
      <protection hidden="1"/>
    </xf>
    <xf numFmtId="0" fontId="76" fillId="0" borderId="0" xfId="1" applyFont="1" applyAlignment="1" applyProtection="1">
      <alignment horizontal="center" vertical="center" wrapText="1"/>
      <protection hidden="1"/>
    </xf>
    <xf numFmtId="0" fontId="20" fillId="0" borderId="0" xfId="1" applyFont="1" applyAlignment="1" applyProtection="1">
      <alignment horizontal="center" vertical="center" wrapText="1"/>
      <protection hidden="1"/>
    </xf>
    <xf numFmtId="0" fontId="5" fillId="0" borderId="0" xfId="1" applyAlignment="1" applyProtection="1">
      <alignment horizontal="center" vertical="center" shrinkToFit="1"/>
      <protection hidden="1"/>
    </xf>
    <xf numFmtId="0" fontId="58" fillId="0" borderId="0" xfId="1" applyFont="1" applyAlignment="1" applyProtection="1">
      <alignment horizontal="center" vertical="center"/>
      <protection hidden="1"/>
    </xf>
    <xf numFmtId="0" fontId="5" fillId="3" borderId="11" xfId="1" applyFill="1" applyBorder="1" applyAlignment="1" applyProtection="1">
      <alignment horizontal="center" vertical="center"/>
      <protection hidden="1"/>
    </xf>
    <xf numFmtId="0" fontId="5" fillId="3" borderId="12" xfId="1" applyFill="1" applyBorder="1" applyAlignment="1" applyProtection="1">
      <alignment horizontal="center" vertical="center"/>
      <protection hidden="1"/>
    </xf>
    <xf numFmtId="0" fontId="5" fillId="3" borderId="13" xfId="1" applyFill="1" applyBorder="1" applyAlignment="1" applyProtection="1">
      <alignment horizontal="center" vertical="center"/>
      <protection hidden="1"/>
    </xf>
    <xf numFmtId="0" fontId="71" fillId="19" borderId="48" xfId="1" applyFont="1" applyFill="1" applyBorder="1" applyAlignment="1">
      <alignment horizontal="center"/>
    </xf>
    <xf numFmtId="0" fontId="71" fillId="19" borderId="20" xfId="1" applyFont="1" applyFill="1" applyBorder="1" applyAlignment="1">
      <alignment horizontal="center"/>
    </xf>
    <xf numFmtId="0" fontId="71" fillId="19" borderId="29" xfId="1" applyFont="1" applyFill="1" applyBorder="1" applyAlignment="1">
      <alignment horizontal="center"/>
    </xf>
    <xf numFmtId="0" fontId="5" fillId="3" borderId="1" xfId="1" applyFill="1" applyBorder="1" applyAlignment="1" applyProtection="1">
      <alignment horizontal="center" vertical="center"/>
      <protection hidden="1"/>
    </xf>
    <xf numFmtId="0" fontId="30" fillId="3" borderId="10" xfId="1" applyFont="1" applyFill="1" applyBorder="1" applyAlignment="1" applyProtection="1">
      <alignment horizontal="center" vertical="center"/>
      <protection hidden="1"/>
    </xf>
    <xf numFmtId="0" fontId="30" fillId="3" borderId="2" xfId="1" applyFont="1" applyFill="1" applyBorder="1" applyAlignment="1" applyProtection="1">
      <alignment horizontal="center" vertical="center"/>
      <protection hidden="1"/>
    </xf>
    <xf numFmtId="0" fontId="30" fillId="3" borderId="3" xfId="1" applyFont="1" applyFill="1" applyBorder="1" applyAlignment="1" applyProtection="1">
      <alignment horizontal="center" vertical="center"/>
      <protection hidden="1"/>
    </xf>
    <xf numFmtId="0" fontId="77" fillId="0" borderId="0" xfId="1" applyFont="1" applyAlignment="1" applyProtection="1">
      <alignment horizontal="right" vertical="center"/>
      <protection hidden="1"/>
    </xf>
    <xf numFmtId="0" fontId="20" fillId="0" borderId="0" xfId="1" applyFont="1" applyAlignment="1" applyProtection="1">
      <alignment horizontal="center" vertical="center" shrinkToFit="1"/>
      <protection hidden="1"/>
    </xf>
    <xf numFmtId="0" fontId="20" fillId="0" borderId="14" xfId="1" applyFont="1" applyBorder="1" applyAlignment="1" applyProtection="1">
      <alignment horizontal="center" vertical="center"/>
      <protection hidden="1"/>
    </xf>
    <xf numFmtId="0" fontId="25" fillId="0" borderId="0" xfId="1" applyFont="1" applyAlignment="1" applyProtection="1">
      <alignment horizontal="center" vertical="center"/>
      <protection hidden="1"/>
    </xf>
    <xf numFmtId="0" fontId="15" fillId="0" borderId="0" xfId="1" applyFont="1" applyAlignment="1" applyProtection="1">
      <alignment horizontal="center" vertical="center"/>
      <protection hidden="1"/>
    </xf>
    <xf numFmtId="0" fontId="5" fillId="0" borderId="14" xfId="1" applyBorder="1" applyAlignment="1" applyProtection="1">
      <alignment horizontal="center" vertical="center"/>
      <protection hidden="1"/>
    </xf>
    <xf numFmtId="0" fontId="5" fillId="0" borderId="0" xfId="1" applyAlignment="1">
      <alignment horizontal="center"/>
    </xf>
    <xf numFmtId="0" fontId="51" fillId="13" borderId="15" xfId="1" applyFont="1" applyFill="1" applyBorder="1" applyAlignment="1">
      <alignment horizontal="center" vertical="center" wrapText="1"/>
    </xf>
    <xf numFmtId="0" fontId="51" fillId="13" borderId="8" xfId="1" applyFont="1" applyFill="1" applyBorder="1" applyAlignment="1">
      <alignment horizontal="center" vertical="center" wrapText="1"/>
    </xf>
    <xf numFmtId="0" fontId="51" fillId="13" borderId="17" xfId="1" applyFont="1" applyFill="1" applyBorder="1" applyAlignment="1">
      <alignment horizontal="center" vertical="center" wrapText="1"/>
    </xf>
    <xf numFmtId="0" fontId="51" fillId="13" borderId="7" xfId="1" applyFont="1" applyFill="1" applyBorder="1" applyAlignment="1">
      <alignment horizontal="center" vertical="center" wrapText="1"/>
    </xf>
    <xf numFmtId="0" fontId="5" fillId="0" borderId="9" xfId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3" fillId="9" borderId="10" xfId="0" applyFont="1" applyFill="1" applyBorder="1" applyAlignment="1">
      <alignment horizontal="left" vertical="center"/>
    </xf>
    <xf numFmtId="0" fontId="43" fillId="9" borderId="2" xfId="0" applyFont="1" applyFill="1" applyBorder="1" applyAlignment="1">
      <alignment horizontal="left" vertical="center"/>
    </xf>
    <xf numFmtId="0" fontId="42" fillId="0" borderId="36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  <xf numFmtId="0" fontId="43" fillId="9" borderId="2" xfId="0" applyFont="1" applyFill="1" applyBorder="1" applyAlignment="1">
      <alignment horizontal="center" vertical="center" wrapText="1"/>
    </xf>
    <xf numFmtId="0" fontId="43" fillId="9" borderId="3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left" vertical="center" wrapText="1"/>
    </xf>
    <xf numFmtId="0" fontId="43" fillId="9" borderId="2" xfId="0" applyFont="1" applyFill="1" applyBorder="1" applyAlignment="1">
      <alignment horizontal="left" vertical="center" wrapText="1"/>
    </xf>
    <xf numFmtId="0" fontId="43" fillId="9" borderId="3" xfId="0" applyFont="1" applyFill="1" applyBorder="1" applyAlignment="1">
      <alignment horizontal="left" vertical="center" wrapText="1"/>
    </xf>
    <xf numFmtId="0" fontId="33" fillId="0" borderId="9" xfId="1" applyFont="1" applyBorder="1" applyAlignment="1">
      <alignment horizontal="center" vertical="center"/>
    </xf>
    <xf numFmtId="0" fontId="54" fillId="12" borderId="5" xfId="1" applyFont="1" applyFill="1" applyBorder="1" applyAlignment="1">
      <alignment horizontal="center" vertical="center" wrapText="1"/>
    </xf>
    <xf numFmtId="0" fontId="54" fillId="12" borderId="20" xfId="1" applyFont="1" applyFill="1" applyBorder="1" applyAlignment="1">
      <alignment horizontal="center" vertical="center" wrapText="1"/>
    </xf>
    <xf numFmtId="0" fontId="11" fillId="0" borderId="9" xfId="1" applyFont="1" applyBorder="1" applyAlignment="1">
      <alignment horizontal="center"/>
    </xf>
    <xf numFmtId="0" fontId="54" fillId="16" borderId="5" xfId="1" applyFont="1" applyFill="1" applyBorder="1" applyAlignment="1">
      <alignment horizontal="center" vertical="center"/>
    </xf>
    <xf numFmtId="0" fontId="54" fillId="12" borderId="13" xfId="1" applyFont="1" applyFill="1" applyBorder="1" applyAlignment="1">
      <alignment horizontal="center" vertical="center" wrapText="1"/>
    </xf>
    <xf numFmtId="0" fontId="54" fillId="12" borderId="15" xfId="1" applyFont="1" applyFill="1" applyBorder="1" applyAlignment="1">
      <alignment horizontal="center" vertical="center" wrapText="1"/>
    </xf>
    <xf numFmtId="0" fontId="54" fillId="12" borderId="61" xfId="1" applyFont="1" applyFill="1" applyBorder="1" applyAlignment="1">
      <alignment horizontal="center" vertical="center" wrapText="1"/>
    </xf>
    <xf numFmtId="0" fontId="54" fillId="12" borderId="11" xfId="1" applyFont="1" applyFill="1" applyBorder="1" applyAlignment="1">
      <alignment horizontal="center" vertical="center" wrapText="1"/>
    </xf>
    <xf numFmtId="0" fontId="54" fillId="12" borderId="14" xfId="1" applyFont="1" applyFill="1" applyBorder="1" applyAlignment="1">
      <alignment horizontal="center" vertical="center" wrapText="1"/>
    </xf>
    <xf numFmtId="0" fontId="54" fillId="12" borderId="17" xfId="1" applyFont="1" applyFill="1" applyBorder="1" applyAlignment="1">
      <alignment horizontal="center" vertical="center" wrapText="1"/>
    </xf>
    <xf numFmtId="0" fontId="54" fillId="12" borderId="6" xfId="1" applyFont="1" applyFill="1" applyBorder="1" applyAlignment="1">
      <alignment horizontal="center" vertical="center" wrapText="1"/>
    </xf>
    <xf numFmtId="0" fontId="54" fillId="12" borderId="62" xfId="1" applyFont="1" applyFill="1" applyBorder="1" applyAlignment="1">
      <alignment horizontal="center" vertical="center" wrapText="1"/>
    </xf>
    <xf numFmtId="0" fontId="54" fillId="12" borderId="58" xfId="1" applyFont="1" applyFill="1" applyBorder="1" applyAlignment="1">
      <alignment horizontal="center" vertical="center" wrapText="1"/>
    </xf>
    <xf numFmtId="0" fontId="54" fillId="12" borderId="59" xfId="1" applyFont="1" applyFill="1" applyBorder="1" applyAlignment="1">
      <alignment horizontal="center" vertical="center" wrapText="1"/>
    </xf>
    <xf numFmtId="0" fontId="10" fillId="12" borderId="63" xfId="1" applyFont="1" applyFill="1" applyBorder="1" applyAlignment="1">
      <alignment horizontal="center" vertical="center" wrapText="1"/>
    </xf>
    <xf numFmtId="0" fontId="10" fillId="12" borderId="62" xfId="1" applyFont="1" applyFill="1" applyBorder="1" applyAlignment="1">
      <alignment horizontal="center" vertical="center" wrapText="1"/>
    </xf>
    <xf numFmtId="0" fontId="54" fillId="12" borderId="64" xfId="1" applyFont="1" applyFill="1" applyBorder="1" applyAlignment="1">
      <alignment horizontal="center" vertical="center" wrapText="1"/>
    </xf>
    <xf numFmtId="0" fontId="10" fillId="12" borderId="65" xfId="1" applyFont="1" applyFill="1" applyBorder="1" applyAlignment="1">
      <alignment horizontal="center" vertical="center" wrapText="1"/>
    </xf>
    <xf numFmtId="0" fontId="10" fillId="12" borderId="58" xfId="1" applyFont="1" applyFill="1" applyBorder="1" applyAlignment="1">
      <alignment horizontal="center" vertical="center" wrapText="1"/>
    </xf>
    <xf numFmtId="0" fontId="54" fillId="12" borderId="63" xfId="1" applyFont="1" applyFill="1" applyBorder="1" applyAlignment="1">
      <alignment horizontal="center" vertical="center" wrapText="1"/>
    </xf>
    <xf numFmtId="0" fontId="54" fillId="12" borderId="12" xfId="1" applyFont="1" applyFill="1" applyBorder="1" applyAlignment="1">
      <alignment horizontal="center" vertical="center" wrapText="1"/>
    </xf>
    <xf numFmtId="0" fontId="54" fillId="16" borderId="14" xfId="1" applyFont="1" applyFill="1" applyBorder="1" applyAlignment="1">
      <alignment horizontal="center" vertical="center" wrapText="1"/>
    </xf>
    <xf numFmtId="0" fontId="54" fillId="16" borderId="15" xfId="1" applyFont="1" applyFill="1" applyBorder="1" applyAlignment="1">
      <alignment horizontal="center" vertical="center" wrapText="1"/>
    </xf>
    <xf numFmtId="0" fontId="54" fillId="16" borderId="48" xfId="1" applyFont="1" applyFill="1" applyBorder="1" applyAlignment="1">
      <alignment horizontal="center" vertical="center"/>
    </xf>
    <xf numFmtId="0" fontId="54" fillId="16" borderId="20" xfId="1" applyFont="1" applyFill="1" applyBorder="1" applyAlignment="1">
      <alignment horizontal="center" vertical="center"/>
    </xf>
    <xf numFmtId="0" fontId="5" fillId="12" borderId="66" xfId="1" applyFill="1" applyBorder="1" applyAlignment="1">
      <alignment vertical="center" wrapText="1"/>
    </xf>
    <xf numFmtId="0" fontId="5" fillId="12" borderId="59" xfId="1" applyFill="1" applyBorder="1" applyAlignment="1">
      <alignment vertical="center" wrapText="1"/>
    </xf>
    <xf numFmtId="0" fontId="54" fillId="12" borderId="66" xfId="1" applyFont="1" applyFill="1" applyBorder="1" applyAlignment="1">
      <alignment horizontal="center" vertical="center" wrapText="1"/>
    </xf>
    <xf numFmtId="0" fontId="54" fillId="12" borderId="7" xfId="1" applyFont="1" applyFill="1" applyBorder="1" applyAlignment="1">
      <alignment horizontal="center" vertical="center" wrapText="1"/>
    </xf>
    <xf numFmtId="0" fontId="5" fillId="16" borderId="14" xfId="1" applyFill="1" applyBorder="1" applyAlignment="1">
      <alignment vertical="center" wrapText="1"/>
    </xf>
    <xf numFmtId="0" fontId="5" fillId="16" borderId="15" xfId="1" applyFill="1" applyBorder="1" applyAlignment="1">
      <alignment vertical="center" wrapText="1"/>
    </xf>
    <xf numFmtId="0" fontId="54" fillId="16" borderId="11" xfId="1" applyFont="1" applyFill="1" applyBorder="1" applyAlignment="1">
      <alignment horizontal="center" vertical="center" wrapText="1"/>
    </xf>
    <xf numFmtId="0" fontId="54" fillId="16" borderId="13" xfId="1" applyFont="1" applyFill="1" applyBorder="1" applyAlignment="1">
      <alignment horizontal="center" vertical="center" wrapText="1"/>
    </xf>
    <xf numFmtId="0" fontId="54" fillId="16" borderId="17" xfId="1" applyFont="1" applyFill="1" applyBorder="1" applyAlignment="1">
      <alignment horizontal="center" vertical="center" wrapText="1"/>
    </xf>
    <xf numFmtId="0" fontId="54" fillId="16" borderId="6" xfId="1" applyFont="1" applyFill="1" applyBorder="1" applyAlignment="1">
      <alignment horizontal="center" vertical="center" wrapText="1"/>
    </xf>
    <xf numFmtId="0" fontId="54" fillId="16" borderId="12" xfId="1" applyFont="1" applyFill="1" applyBorder="1" applyAlignment="1">
      <alignment horizontal="center" vertical="center" wrapText="1"/>
    </xf>
    <xf numFmtId="0" fontId="54" fillId="16" borderId="7" xfId="1" applyFont="1" applyFill="1" applyBorder="1" applyAlignment="1">
      <alignment horizontal="center" vertical="center" wrapText="1"/>
    </xf>
    <xf numFmtId="0" fontId="55" fillId="0" borderId="48" xfId="1" applyFont="1" applyBorder="1" applyAlignment="1">
      <alignment horizontal="center" vertical="center" wrapText="1"/>
    </xf>
    <xf numFmtId="0" fontId="55" fillId="0" borderId="67" xfId="1" applyFont="1" applyBorder="1" applyAlignment="1">
      <alignment horizontal="center" vertical="center" wrapText="1"/>
    </xf>
    <xf numFmtId="0" fontId="5" fillId="0" borderId="48" xfId="1" applyBorder="1" applyAlignment="1">
      <alignment horizontal="center" vertical="center" wrapText="1"/>
    </xf>
    <xf numFmtId="0" fontId="5" fillId="0" borderId="29" xfId="1" applyBorder="1" applyAlignment="1">
      <alignment horizontal="center" vertical="center" wrapText="1"/>
    </xf>
    <xf numFmtId="0" fontId="5" fillId="0" borderId="20" xfId="1" applyBorder="1" applyAlignment="1">
      <alignment horizontal="center" vertical="center" wrapText="1"/>
    </xf>
    <xf numFmtId="0" fontId="5" fillId="0" borderId="64" xfId="1" applyBorder="1" applyAlignment="1">
      <alignment horizontal="center" vertical="center" wrapText="1"/>
    </xf>
    <xf numFmtId="0" fontId="5" fillId="0" borderId="67" xfId="1" applyBorder="1" applyAlignment="1">
      <alignment horizontal="center" vertical="center" wrapText="1"/>
    </xf>
    <xf numFmtId="0" fontId="55" fillId="0" borderId="64" xfId="1" applyFont="1" applyBorder="1" applyAlignment="1">
      <alignment horizontal="center" vertical="center" wrapText="1"/>
    </xf>
    <xf numFmtId="0" fontId="55" fillId="0" borderId="20" xfId="1" applyFont="1" applyBorder="1" applyAlignment="1">
      <alignment horizontal="center" vertical="center" wrapText="1"/>
    </xf>
    <xf numFmtId="0" fontId="55" fillId="17" borderId="48" xfId="1" applyFont="1" applyFill="1" applyBorder="1" applyAlignment="1">
      <alignment horizontal="center" vertical="center" wrapText="1"/>
    </xf>
    <xf numFmtId="0" fontId="55" fillId="17" borderId="67" xfId="1" applyFont="1" applyFill="1" applyBorder="1" applyAlignment="1">
      <alignment horizontal="center" vertical="center" wrapText="1"/>
    </xf>
    <xf numFmtId="0" fontId="5" fillId="17" borderId="64" xfId="1" applyFill="1" applyBorder="1" applyAlignment="1">
      <alignment horizontal="center" vertical="center" wrapText="1"/>
    </xf>
    <xf numFmtId="0" fontId="5" fillId="17" borderId="67" xfId="1" applyFill="1" applyBorder="1" applyAlignment="1">
      <alignment horizontal="center" vertical="center" wrapText="1"/>
    </xf>
    <xf numFmtId="0" fontId="55" fillId="17" borderId="64" xfId="1" applyFont="1" applyFill="1" applyBorder="1" applyAlignment="1">
      <alignment horizontal="center" vertical="center" wrapText="1"/>
    </xf>
    <xf numFmtId="0" fontId="55" fillId="17" borderId="20" xfId="1" applyFont="1" applyFill="1" applyBorder="1" applyAlignment="1">
      <alignment horizontal="center" vertical="center" wrapText="1"/>
    </xf>
    <xf numFmtId="0" fontId="5" fillId="16" borderId="17" xfId="1" applyFill="1" applyBorder="1" applyAlignment="1">
      <alignment vertical="center" wrapText="1"/>
    </xf>
    <xf numFmtId="0" fontId="5" fillId="16" borderId="6" xfId="1" applyFill="1" applyBorder="1" applyAlignment="1">
      <alignment vertical="center" wrapText="1"/>
    </xf>
    <xf numFmtId="0" fontId="5" fillId="14" borderId="64" xfId="1" applyFill="1" applyBorder="1" applyAlignment="1">
      <alignment horizontal="center" vertical="center" wrapText="1"/>
    </xf>
    <xf numFmtId="0" fontId="5" fillId="14" borderId="67" xfId="1" applyFill="1" applyBorder="1" applyAlignment="1">
      <alignment horizontal="center" vertical="center" wrapText="1"/>
    </xf>
    <xf numFmtId="0" fontId="55" fillId="0" borderId="11" xfId="1" applyFont="1" applyBorder="1" applyAlignment="1">
      <alignment horizontal="center" vertical="center"/>
    </xf>
    <xf numFmtId="0" fontId="55" fillId="0" borderId="13" xfId="1" applyFont="1" applyBorder="1" applyAlignment="1">
      <alignment horizontal="center" vertical="center"/>
    </xf>
    <xf numFmtId="0" fontId="55" fillId="0" borderId="14" xfId="1" applyFont="1" applyBorder="1" applyAlignment="1">
      <alignment horizontal="center" vertical="center"/>
    </xf>
    <xf numFmtId="0" fontId="55" fillId="0" borderId="15" xfId="1" applyFont="1" applyBorder="1" applyAlignment="1">
      <alignment horizontal="center" vertical="center"/>
    </xf>
    <xf numFmtId="0" fontId="54" fillId="12" borderId="65" xfId="1" applyFont="1" applyFill="1" applyBorder="1" applyAlignment="1">
      <alignment horizontal="center" vertical="center" wrapText="1"/>
    </xf>
    <xf numFmtId="0" fontId="54" fillId="16" borderId="38" xfId="1" applyFont="1" applyFill="1" applyBorder="1" applyAlignment="1">
      <alignment horizontal="center" vertical="center" wrapText="1"/>
    </xf>
    <xf numFmtId="0" fontId="54" fillId="16" borderId="39" xfId="1" applyFont="1" applyFill="1" applyBorder="1" applyAlignment="1">
      <alignment horizontal="center" vertical="center" wrapText="1"/>
    </xf>
    <xf numFmtId="0" fontId="54" fillId="16" borderId="37" xfId="1" applyFont="1" applyFill="1" applyBorder="1" applyAlignment="1">
      <alignment horizontal="center" vertical="center" wrapText="1"/>
    </xf>
    <xf numFmtId="0" fontId="5" fillId="12" borderId="65" xfId="1" applyFill="1" applyBorder="1" applyAlignment="1">
      <alignment vertical="center" wrapText="1"/>
    </xf>
    <xf numFmtId="0" fontId="5" fillId="12" borderId="58" xfId="1" applyFill="1" applyBorder="1" applyAlignment="1">
      <alignment vertical="center" wrapText="1"/>
    </xf>
    <xf numFmtId="0" fontId="55" fillId="0" borderId="11" xfId="1" applyFont="1" applyBorder="1" applyAlignment="1">
      <alignment horizontal="center" vertical="center" wrapText="1"/>
    </xf>
    <xf numFmtId="0" fontId="55" fillId="0" borderId="13" xfId="1" applyFont="1" applyBorder="1" applyAlignment="1">
      <alignment horizontal="center" vertical="center" wrapText="1"/>
    </xf>
    <xf numFmtId="0" fontId="55" fillId="0" borderId="14" xfId="1" applyFont="1" applyBorder="1" applyAlignment="1">
      <alignment horizontal="center" vertical="center" wrapText="1"/>
    </xf>
    <xf numFmtId="0" fontId="55" fillId="0" borderId="15" xfId="1" applyFont="1" applyBorder="1" applyAlignment="1">
      <alignment horizontal="center" vertical="center" wrapText="1"/>
    </xf>
    <xf numFmtId="0" fontId="5" fillId="17" borderId="48" xfId="1" applyFill="1" applyBorder="1" applyAlignment="1">
      <alignment horizontal="center" vertical="center" wrapText="1"/>
    </xf>
    <xf numFmtId="0" fontId="5" fillId="17" borderId="29" xfId="1" applyFill="1" applyBorder="1" applyAlignment="1">
      <alignment horizontal="center" vertical="center" wrapText="1"/>
    </xf>
    <xf numFmtId="0" fontId="5" fillId="0" borderId="51" xfId="1" applyBorder="1" applyAlignment="1">
      <alignment horizontal="center" vertical="center" wrapText="1"/>
    </xf>
    <xf numFmtId="0" fontId="5" fillId="0" borderId="52" xfId="1" applyBorder="1" applyAlignment="1">
      <alignment horizontal="center" vertical="center" wrapText="1"/>
    </xf>
    <xf numFmtId="0" fontId="54" fillId="16" borderId="29" xfId="1" applyFont="1" applyFill="1" applyBorder="1" applyAlignment="1">
      <alignment horizontal="center" vertical="center"/>
    </xf>
    <xf numFmtId="0" fontId="5" fillId="14" borderId="48" xfId="1" applyFill="1" applyBorder="1" applyAlignment="1">
      <alignment horizontal="center" vertical="center" wrapText="1"/>
    </xf>
    <xf numFmtId="0" fontId="55" fillId="0" borderId="38" xfId="1" applyFont="1" applyBorder="1" applyAlignment="1">
      <alignment horizontal="center" vertical="center"/>
    </xf>
    <xf numFmtId="0" fontId="55" fillId="0" borderId="39" xfId="1" applyFont="1" applyBorder="1" applyAlignment="1">
      <alignment horizontal="center" vertical="center"/>
    </xf>
    <xf numFmtId="0" fontId="55" fillId="0" borderId="54" xfId="1" applyFont="1" applyBorder="1" applyAlignment="1">
      <alignment horizontal="center" vertical="center"/>
    </xf>
    <xf numFmtId="0" fontId="55" fillId="0" borderId="38" xfId="1" applyFont="1" applyBorder="1" applyAlignment="1">
      <alignment horizontal="center" vertical="center" wrapText="1"/>
    </xf>
    <xf numFmtId="0" fontId="55" fillId="0" borderId="39" xfId="1" applyFont="1" applyBorder="1" applyAlignment="1">
      <alignment horizontal="center" vertical="center" wrapText="1"/>
    </xf>
    <xf numFmtId="0" fontId="55" fillId="0" borderId="54" xfId="1" applyFont="1" applyBorder="1" applyAlignment="1">
      <alignment horizontal="center" vertical="center" wrapText="1"/>
    </xf>
    <xf numFmtId="0" fontId="5" fillId="14" borderId="68" xfId="1" applyFill="1" applyBorder="1" applyAlignment="1">
      <alignment horizontal="center" vertical="center" wrapText="1"/>
    </xf>
    <xf numFmtId="0" fontId="5" fillId="14" borderId="69" xfId="1" applyFill="1" applyBorder="1" applyAlignment="1">
      <alignment horizontal="center" vertical="center" wrapText="1"/>
    </xf>
    <xf numFmtId="0" fontId="5" fillId="14" borderId="51" xfId="1" applyFill="1" applyBorder="1" applyAlignment="1">
      <alignment horizontal="center" vertical="center" wrapText="1"/>
    </xf>
    <xf numFmtId="49" fontId="28" fillId="0" borderId="48" xfId="1" applyNumberFormat="1" applyFont="1" applyBorder="1" applyAlignment="1">
      <alignment horizontal="center" vertical="center"/>
    </xf>
    <xf numFmtId="0" fontId="5" fillId="0" borderId="20" xfId="1" applyBorder="1"/>
    <xf numFmtId="0" fontId="5" fillId="0" borderId="29" xfId="1" applyBorder="1"/>
    <xf numFmtId="0" fontId="10" fillId="2" borderId="11" xfId="1" applyFont="1" applyFill="1" applyBorder="1" applyAlignment="1" applyProtection="1">
      <alignment horizontal="center" vertical="center"/>
      <protection hidden="1"/>
    </xf>
    <xf numFmtId="0" fontId="10" fillId="2" borderId="13" xfId="1" applyFont="1" applyFill="1" applyBorder="1" applyAlignment="1" applyProtection="1">
      <alignment horizontal="center" vertical="center"/>
      <protection hidden="1"/>
    </xf>
    <xf numFmtId="0" fontId="54" fillId="0" borderId="20" xfId="1" applyFont="1" applyBorder="1" applyAlignment="1">
      <alignment vertical="center" wrapText="1"/>
    </xf>
    <xf numFmtId="0" fontId="54" fillId="12" borderId="55" xfId="1" applyFont="1" applyFill="1" applyBorder="1" applyAlignment="1">
      <alignment horizontal="center" vertical="center" wrapText="1"/>
    </xf>
    <xf numFmtId="0" fontId="54" fillId="12" borderId="56" xfId="1" applyFont="1" applyFill="1" applyBorder="1" applyAlignment="1">
      <alignment horizontal="center" vertical="center" wrapText="1"/>
    </xf>
    <xf numFmtId="0" fontId="38" fillId="0" borderId="48" xfId="1" applyFont="1" applyBorder="1" applyAlignment="1">
      <alignment horizontal="justify" vertical="center" wrapText="1"/>
    </xf>
    <xf numFmtId="0" fontId="38" fillId="0" borderId="20" xfId="1" applyFont="1" applyBorder="1" applyAlignment="1">
      <alignment horizontal="justify" vertical="center" wrapText="1"/>
    </xf>
    <xf numFmtId="0" fontId="10" fillId="0" borderId="20" xfId="1" applyFont="1" applyBorder="1" applyAlignment="1">
      <alignment vertical="center" wrapText="1"/>
    </xf>
    <xf numFmtId="0" fontId="10" fillId="12" borderId="48" xfId="1" applyFont="1" applyFill="1" applyBorder="1" applyAlignment="1">
      <alignment horizontal="center" vertical="center" wrapText="1"/>
    </xf>
    <xf numFmtId="0" fontId="10" fillId="12" borderId="20" xfId="1" applyFont="1" applyFill="1" applyBorder="1" applyAlignment="1">
      <alignment horizontal="center" vertical="center" wrapText="1"/>
    </xf>
    <xf numFmtId="0" fontId="5" fillId="0" borderId="53" xfId="1" applyBorder="1" applyAlignment="1">
      <alignment horizontal="center" vertical="center" wrapText="1"/>
    </xf>
    <xf numFmtId="49" fontId="28" fillId="0" borderId="29" xfId="1" applyNumberFormat="1" applyFont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Vírgula" xfId="3" builtinId="3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199;&#213;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199;&#213;ES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6349</xdr:rowOff>
    </xdr:from>
    <xdr:to>
      <xdr:col>11</xdr:col>
      <xdr:colOff>0</xdr:colOff>
      <xdr:row>3</xdr:row>
      <xdr:rowOff>0</xdr:rowOff>
    </xdr:to>
    <xdr:sp macro="[0]!Macro1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33925" y="215899"/>
          <a:ext cx="1333500" cy="241301"/>
        </a:xfrm>
        <a:prstGeom prst="rect">
          <a:avLst/>
        </a:prstGeom>
        <a:solidFill>
          <a:schemeClr val="accent1">
            <a:lumMod val="40000"/>
            <a:lumOff val="60000"/>
            <a:alpha val="55000"/>
          </a:schemeClr>
        </a:solidFill>
        <a:ln w="9525" cap="rnd" cmpd="dbl">
          <a:solidFill>
            <a:schemeClr val="bg1"/>
          </a:solidFill>
        </a:ln>
        <a:effectLst>
          <a:innerShdw>
            <a:schemeClr val="bg1"/>
          </a:innerShdw>
          <a:reflection stA="45000" endPos="65000" dist="63500" dir="5400000" sy="-100000" algn="bl" rotWithShape="0"/>
        </a:effectLst>
        <a:scene3d>
          <a:camera prst="orthographicFront"/>
          <a:lightRig rig="freezing" dir="t">
            <a:rot lat="0" lon="0" rev="7200000"/>
          </a:lightRig>
        </a:scene3d>
        <a:sp3d contourW="12700" prstMaterial="powder">
          <a:bevelT w="63500" h="63500" prst="convex"/>
          <a:bevelB w="63500" h="63500" prst="convex"/>
          <a:contourClr>
            <a:schemeClr val="bg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solidFill>
                <a:schemeClr val="tx2">
                  <a:lumMod val="50000"/>
                </a:schemeClr>
              </a:solidFill>
            </a:rPr>
            <a:t>INSERIR NOVA LINHA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57150</xdr:colOff>
      <xdr:row>27</xdr:row>
      <xdr:rowOff>38100</xdr:rowOff>
    </xdr:from>
    <xdr:to>
      <xdr:col>2</xdr:col>
      <xdr:colOff>1180350</xdr:colOff>
      <xdr:row>27</xdr:row>
      <xdr:rowOff>285750</xdr:rowOff>
    </xdr:to>
    <xdr:sp macro="" textlink="">
      <xdr:nvSpPr>
        <xdr:cNvPr id="17528" name="Rectangle 3287">
          <a:extLst>
            <a:ext uri="{FF2B5EF4-FFF2-40B4-BE49-F238E27FC236}">
              <a16:creationId xmlns:a16="http://schemas.microsoft.com/office/drawing/2014/main" id="{00000000-0008-0000-0100-000078440000}"/>
            </a:ext>
          </a:extLst>
        </xdr:cNvPr>
        <xdr:cNvSpPr>
          <a:spLocks noChangeArrowheads="1"/>
        </xdr:cNvSpPr>
      </xdr:nvSpPr>
      <xdr:spPr bwMode="auto">
        <a:xfrm>
          <a:off x="1866900" y="5391150"/>
          <a:ext cx="112320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118</xdr:row>
      <xdr:rowOff>9526</xdr:rowOff>
    </xdr:from>
    <xdr:to>
      <xdr:col>8</xdr:col>
      <xdr:colOff>809625</xdr:colOff>
      <xdr:row>134</xdr:row>
      <xdr:rowOff>123826</xdr:rowOff>
    </xdr:to>
    <xdr:pic>
      <xdr:nvPicPr>
        <xdr:cNvPr id="17475" name="Imagem 1" descr="image004">
          <a:extLst>
            <a:ext uri="{FF2B5EF4-FFF2-40B4-BE49-F238E27FC236}">
              <a16:creationId xmlns:a16="http://schemas.microsoft.com/office/drawing/2014/main" id="{00000000-0008-0000-0100-000043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8" t="6104" r="1579" b="5830"/>
        <a:stretch>
          <a:fillRect/>
        </a:stretch>
      </xdr:blipFill>
      <xdr:spPr bwMode="auto">
        <a:xfrm>
          <a:off x="247650" y="15268576"/>
          <a:ext cx="78105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71</xdr:row>
      <xdr:rowOff>0</xdr:rowOff>
    </xdr:from>
    <xdr:to>
      <xdr:col>8</xdr:col>
      <xdr:colOff>266700</xdr:colOff>
      <xdr:row>71</xdr:row>
      <xdr:rowOff>0</xdr:rowOff>
    </xdr:to>
    <xdr:grpSp>
      <xdr:nvGrpSpPr>
        <xdr:cNvPr id="17476" name="Group 465">
          <a:extLst>
            <a:ext uri="{FF2B5EF4-FFF2-40B4-BE49-F238E27FC236}">
              <a16:creationId xmlns:a16="http://schemas.microsoft.com/office/drawing/2014/main" id="{00000000-0008-0000-0100-000044440000}"/>
            </a:ext>
          </a:extLst>
        </xdr:cNvPr>
        <xdr:cNvGrpSpPr>
          <a:grpSpLocks/>
        </xdr:cNvGrpSpPr>
      </xdr:nvGrpSpPr>
      <xdr:grpSpPr bwMode="auto">
        <a:xfrm>
          <a:off x="6429375" y="14201775"/>
          <a:ext cx="1085850" cy="0"/>
          <a:chOff x="4762500" y="18040350"/>
          <a:chExt cx="933450" cy="0"/>
        </a:xfrm>
      </xdr:grpSpPr>
      <xdr:sp macro="" textlink="">
        <xdr:nvSpPr>
          <xdr:cNvPr id="17551" name="Line 60">
            <a:extLst>
              <a:ext uri="{FF2B5EF4-FFF2-40B4-BE49-F238E27FC236}">
                <a16:creationId xmlns:a16="http://schemas.microsoft.com/office/drawing/2014/main" id="{00000000-0008-0000-0100-00008F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95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2" name="Line 61">
            <a:extLst>
              <a:ext uri="{FF2B5EF4-FFF2-40B4-BE49-F238E27FC236}">
                <a16:creationId xmlns:a16="http://schemas.microsoft.com/office/drawing/2014/main" id="{00000000-0008-0000-0100-000090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0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3" name="Line 65">
            <a:extLst>
              <a:ext uri="{FF2B5EF4-FFF2-40B4-BE49-F238E27FC236}">
                <a16:creationId xmlns:a16="http://schemas.microsoft.com/office/drawing/2014/main" id="{00000000-0008-0000-0100-000091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79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4" name="Line 66">
            <a:extLst>
              <a:ext uri="{FF2B5EF4-FFF2-40B4-BE49-F238E27FC236}">
                <a16:creationId xmlns:a16="http://schemas.microsoft.com/office/drawing/2014/main" id="{00000000-0008-0000-0100-000092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66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5" name="Line 67">
            <a:extLst>
              <a:ext uri="{FF2B5EF4-FFF2-40B4-BE49-F238E27FC236}">
                <a16:creationId xmlns:a16="http://schemas.microsoft.com/office/drawing/2014/main" id="{00000000-0008-0000-0100-000093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0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6" name="Line 68">
            <a:extLst>
              <a:ext uri="{FF2B5EF4-FFF2-40B4-BE49-F238E27FC236}">
                <a16:creationId xmlns:a16="http://schemas.microsoft.com/office/drawing/2014/main" id="{00000000-0008-0000-0100-000094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95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1076325</xdr:colOff>
      <xdr:row>130</xdr:row>
      <xdr:rowOff>133350</xdr:rowOff>
    </xdr:from>
    <xdr:to>
      <xdr:col>2</xdr:col>
      <xdr:colOff>1276350</xdr:colOff>
      <xdr:row>132</xdr:row>
      <xdr:rowOff>57150</xdr:rowOff>
    </xdr:to>
    <xdr:sp macro="" textlink="">
      <xdr:nvSpPr>
        <xdr:cNvPr id="17477" name="Line 298">
          <a:extLst>
            <a:ext uri="{FF2B5EF4-FFF2-40B4-BE49-F238E27FC236}">
              <a16:creationId xmlns:a16="http://schemas.microsoft.com/office/drawing/2014/main" id="{00000000-0008-0000-0100-000045440000}"/>
            </a:ext>
          </a:extLst>
        </xdr:cNvPr>
        <xdr:cNvSpPr>
          <a:spLocks noChangeShapeType="1"/>
        </xdr:cNvSpPr>
      </xdr:nvSpPr>
      <xdr:spPr bwMode="auto">
        <a:xfrm flipH="1">
          <a:off x="2886075" y="17354550"/>
          <a:ext cx="200025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714375</xdr:colOff>
      <xdr:row>122</xdr:row>
      <xdr:rowOff>9525</xdr:rowOff>
    </xdr:from>
    <xdr:to>
      <xdr:col>5</xdr:col>
      <xdr:colOff>838200</xdr:colOff>
      <xdr:row>125</xdr:row>
      <xdr:rowOff>142875</xdr:rowOff>
    </xdr:to>
    <xdr:sp macro="" textlink="">
      <xdr:nvSpPr>
        <xdr:cNvPr id="17478" name="Line 307">
          <a:extLst>
            <a:ext uri="{FF2B5EF4-FFF2-40B4-BE49-F238E27FC236}">
              <a16:creationId xmlns:a16="http://schemas.microsoft.com/office/drawing/2014/main" id="{00000000-0008-0000-0100-000046440000}"/>
            </a:ext>
          </a:extLst>
        </xdr:cNvPr>
        <xdr:cNvSpPr>
          <a:spLocks noChangeShapeType="1"/>
        </xdr:cNvSpPr>
      </xdr:nvSpPr>
      <xdr:spPr bwMode="auto">
        <a:xfrm flipV="1">
          <a:off x="5715000" y="15830550"/>
          <a:ext cx="123825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130</xdr:row>
      <xdr:rowOff>95250</xdr:rowOff>
    </xdr:from>
    <xdr:to>
      <xdr:col>4</xdr:col>
      <xdr:colOff>161925</xdr:colOff>
      <xdr:row>132</xdr:row>
      <xdr:rowOff>66675</xdr:rowOff>
    </xdr:to>
    <xdr:sp macro="" textlink="">
      <xdr:nvSpPr>
        <xdr:cNvPr id="17479" name="Line 314">
          <a:extLst>
            <a:ext uri="{FF2B5EF4-FFF2-40B4-BE49-F238E27FC236}">
              <a16:creationId xmlns:a16="http://schemas.microsoft.com/office/drawing/2014/main" id="{00000000-0008-0000-0100-000047440000}"/>
            </a:ext>
          </a:extLst>
        </xdr:cNvPr>
        <xdr:cNvSpPr>
          <a:spLocks noChangeShapeType="1"/>
        </xdr:cNvSpPr>
      </xdr:nvSpPr>
      <xdr:spPr bwMode="auto">
        <a:xfrm>
          <a:off x="3981450" y="17316450"/>
          <a:ext cx="15240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1115786</xdr:colOff>
      <xdr:row>117</xdr:row>
      <xdr:rowOff>13607</xdr:rowOff>
    </xdr:from>
    <xdr:to>
      <xdr:col>2</xdr:col>
      <xdr:colOff>1219199</xdr:colOff>
      <xdr:row>118</xdr:row>
      <xdr:rowOff>19050</xdr:rowOff>
    </xdr:to>
    <xdr:sp macro="" textlink="">
      <xdr:nvSpPr>
        <xdr:cNvPr id="17480" name="Line 315">
          <a:extLst>
            <a:ext uri="{FF2B5EF4-FFF2-40B4-BE49-F238E27FC236}">
              <a16:creationId xmlns:a16="http://schemas.microsoft.com/office/drawing/2014/main" id="{00000000-0008-0000-0100-000048440000}"/>
            </a:ext>
          </a:extLst>
        </xdr:cNvPr>
        <xdr:cNvSpPr>
          <a:spLocks noChangeShapeType="1"/>
        </xdr:cNvSpPr>
      </xdr:nvSpPr>
      <xdr:spPr bwMode="auto">
        <a:xfrm flipH="1" flipV="1">
          <a:off x="2925536" y="15117536"/>
          <a:ext cx="103413" cy="1959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106</xdr:row>
      <xdr:rowOff>0</xdr:rowOff>
    </xdr:from>
    <xdr:to>
      <xdr:col>8</xdr:col>
      <xdr:colOff>409575</xdr:colOff>
      <xdr:row>106</xdr:row>
      <xdr:rowOff>0</xdr:rowOff>
    </xdr:to>
    <xdr:sp macro="" textlink="">
      <xdr:nvSpPr>
        <xdr:cNvPr id="17481" name="AutoShape 318">
          <a:extLst>
            <a:ext uri="{FF2B5EF4-FFF2-40B4-BE49-F238E27FC236}">
              <a16:creationId xmlns:a16="http://schemas.microsoft.com/office/drawing/2014/main" id="{00000000-0008-0000-0100-000049440000}"/>
            </a:ext>
          </a:extLst>
        </xdr:cNvPr>
        <xdr:cNvSpPr>
          <a:spLocks noChangeArrowheads="1"/>
        </xdr:cNvSpPr>
      </xdr:nvSpPr>
      <xdr:spPr bwMode="auto">
        <a:xfrm flipH="1">
          <a:off x="2400300" y="14049375"/>
          <a:ext cx="5305425" cy="0"/>
        </a:xfrm>
        <a:prstGeom prst="cube">
          <a:avLst>
            <a:gd name="adj" fmla="val 7069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428625</xdr:colOff>
      <xdr:row>106</xdr:row>
      <xdr:rowOff>0</xdr:rowOff>
    </xdr:from>
    <xdr:to>
      <xdr:col>5</xdr:col>
      <xdr:colOff>428625</xdr:colOff>
      <xdr:row>106</xdr:row>
      <xdr:rowOff>0</xdr:rowOff>
    </xdr:to>
    <xdr:sp macro="" textlink="">
      <xdr:nvSpPr>
        <xdr:cNvPr id="17482" name="Line 320">
          <a:extLst>
            <a:ext uri="{FF2B5EF4-FFF2-40B4-BE49-F238E27FC236}">
              <a16:creationId xmlns:a16="http://schemas.microsoft.com/office/drawing/2014/main" id="{00000000-0008-0000-0100-00004A440000}"/>
            </a:ext>
          </a:extLst>
        </xdr:cNvPr>
        <xdr:cNvSpPr>
          <a:spLocks noChangeShapeType="1"/>
        </xdr:cNvSpPr>
      </xdr:nvSpPr>
      <xdr:spPr bwMode="auto">
        <a:xfrm>
          <a:off x="5429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106</xdr:row>
      <xdr:rowOff>0</xdr:rowOff>
    </xdr:from>
    <xdr:to>
      <xdr:col>5</xdr:col>
      <xdr:colOff>400050</xdr:colOff>
      <xdr:row>106</xdr:row>
      <xdr:rowOff>0</xdr:rowOff>
    </xdr:to>
    <xdr:sp macro="" textlink="">
      <xdr:nvSpPr>
        <xdr:cNvPr id="17483" name="Line 321">
          <a:extLst>
            <a:ext uri="{FF2B5EF4-FFF2-40B4-BE49-F238E27FC236}">
              <a16:creationId xmlns:a16="http://schemas.microsoft.com/office/drawing/2014/main" id="{00000000-0008-0000-0100-00004B440000}"/>
            </a:ext>
          </a:extLst>
        </xdr:cNvPr>
        <xdr:cNvSpPr>
          <a:spLocks noChangeShapeType="1"/>
        </xdr:cNvSpPr>
      </xdr:nvSpPr>
      <xdr:spPr bwMode="auto">
        <a:xfrm>
          <a:off x="5210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428625</xdr:colOff>
      <xdr:row>153</xdr:row>
      <xdr:rowOff>0</xdr:rowOff>
    </xdr:from>
    <xdr:to>
      <xdr:col>8</xdr:col>
      <xdr:colOff>428625</xdr:colOff>
      <xdr:row>153</xdr:row>
      <xdr:rowOff>0</xdr:rowOff>
    </xdr:to>
    <xdr:sp macro="" textlink="">
      <xdr:nvSpPr>
        <xdr:cNvPr id="17484" name="Line 322">
          <a:extLst>
            <a:ext uri="{FF2B5EF4-FFF2-40B4-BE49-F238E27FC236}">
              <a16:creationId xmlns:a16="http://schemas.microsoft.com/office/drawing/2014/main" id="{00000000-0008-0000-0100-00004C440000}"/>
            </a:ext>
          </a:extLst>
        </xdr:cNvPr>
        <xdr:cNvSpPr>
          <a:spLocks noChangeShapeType="1"/>
        </xdr:cNvSpPr>
      </xdr:nvSpPr>
      <xdr:spPr bwMode="auto">
        <a:xfrm>
          <a:off x="7724775" y="19278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1400175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85" name="Line 324">
          <a:extLst>
            <a:ext uri="{FF2B5EF4-FFF2-40B4-BE49-F238E27FC236}">
              <a16:creationId xmlns:a16="http://schemas.microsoft.com/office/drawing/2014/main" id="{00000000-0008-0000-0100-00004D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1428750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86" name="Line 325">
          <a:extLst>
            <a:ext uri="{FF2B5EF4-FFF2-40B4-BE49-F238E27FC236}">
              <a16:creationId xmlns:a16="http://schemas.microsoft.com/office/drawing/2014/main" id="{00000000-0008-0000-0100-00004E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106</xdr:row>
      <xdr:rowOff>0</xdr:rowOff>
    </xdr:from>
    <xdr:to>
      <xdr:col>8</xdr:col>
      <xdr:colOff>419100</xdr:colOff>
      <xdr:row>106</xdr:row>
      <xdr:rowOff>0</xdr:rowOff>
    </xdr:to>
    <xdr:sp macro="" textlink="">
      <xdr:nvSpPr>
        <xdr:cNvPr id="17487" name="Line 327">
          <a:extLst>
            <a:ext uri="{FF2B5EF4-FFF2-40B4-BE49-F238E27FC236}">
              <a16:creationId xmlns:a16="http://schemas.microsoft.com/office/drawing/2014/main" id="{00000000-0008-0000-0100-00004F440000}"/>
            </a:ext>
          </a:extLst>
        </xdr:cNvPr>
        <xdr:cNvSpPr>
          <a:spLocks noChangeShapeType="1"/>
        </xdr:cNvSpPr>
      </xdr:nvSpPr>
      <xdr:spPr bwMode="auto">
        <a:xfrm>
          <a:off x="7715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438150</xdr:colOff>
      <xdr:row>106</xdr:row>
      <xdr:rowOff>0</xdr:rowOff>
    </xdr:from>
    <xdr:to>
      <xdr:col>2</xdr:col>
      <xdr:colOff>438150</xdr:colOff>
      <xdr:row>106</xdr:row>
      <xdr:rowOff>0</xdr:rowOff>
    </xdr:to>
    <xdr:sp macro="" textlink="">
      <xdr:nvSpPr>
        <xdr:cNvPr id="17488" name="Line 332">
          <a:extLst>
            <a:ext uri="{FF2B5EF4-FFF2-40B4-BE49-F238E27FC236}">
              <a16:creationId xmlns:a16="http://schemas.microsoft.com/office/drawing/2014/main" id="{00000000-0008-0000-0100-000050440000}"/>
            </a:ext>
          </a:extLst>
        </xdr:cNvPr>
        <xdr:cNvSpPr>
          <a:spLocks noChangeShapeType="1"/>
        </xdr:cNvSpPr>
      </xdr:nvSpPr>
      <xdr:spPr bwMode="auto">
        <a:xfrm flipV="1">
          <a:off x="224790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89" name="Line 350">
          <a:extLst>
            <a:ext uri="{FF2B5EF4-FFF2-40B4-BE49-F238E27FC236}">
              <a16:creationId xmlns:a16="http://schemas.microsoft.com/office/drawing/2014/main" id="{00000000-0008-0000-0100-000051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0" name="Line 351">
          <a:extLst>
            <a:ext uri="{FF2B5EF4-FFF2-40B4-BE49-F238E27FC236}">
              <a16:creationId xmlns:a16="http://schemas.microsoft.com/office/drawing/2014/main" id="{00000000-0008-0000-0100-000052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428625</xdr:colOff>
      <xdr:row>106</xdr:row>
      <xdr:rowOff>0</xdr:rowOff>
    </xdr:from>
    <xdr:to>
      <xdr:col>5</xdr:col>
      <xdr:colOff>428625</xdr:colOff>
      <xdr:row>106</xdr:row>
      <xdr:rowOff>0</xdr:rowOff>
    </xdr:to>
    <xdr:sp macro="" textlink="">
      <xdr:nvSpPr>
        <xdr:cNvPr id="17491" name="Line 372">
          <a:extLst>
            <a:ext uri="{FF2B5EF4-FFF2-40B4-BE49-F238E27FC236}">
              <a16:creationId xmlns:a16="http://schemas.microsoft.com/office/drawing/2014/main" id="{00000000-0008-0000-0100-000053440000}"/>
            </a:ext>
          </a:extLst>
        </xdr:cNvPr>
        <xdr:cNvSpPr>
          <a:spLocks noChangeShapeType="1"/>
        </xdr:cNvSpPr>
      </xdr:nvSpPr>
      <xdr:spPr bwMode="auto">
        <a:xfrm>
          <a:off x="5429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106</xdr:row>
      <xdr:rowOff>0</xdr:rowOff>
    </xdr:from>
    <xdr:to>
      <xdr:col>5</xdr:col>
      <xdr:colOff>400050</xdr:colOff>
      <xdr:row>106</xdr:row>
      <xdr:rowOff>0</xdr:rowOff>
    </xdr:to>
    <xdr:sp macro="" textlink="">
      <xdr:nvSpPr>
        <xdr:cNvPr id="17492" name="Line 373">
          <a:extLst>
            <a:ext uri="{FF2B5EF4-FFF2-40B4-BE49-F238E27FC236}">
              <a16:creationId xmlns:a16="http://schemas.microsoft.com/office/drawing/2014/main" id="{00000000-0008-0000-0100-000054440000}"/>
            </a:ext>
          </a:extLst>
        </xdr:cNvPr>
        <xdr:cNvSpPr>
          <a:spLocks noChangeShapeType="1"/>
        </xdr:cNvSpPr>
      </xdr:nvSpPr>
      <xdr:spPr bwMode="auto">
        <a:xfrm>
          <a:off x="5210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1400175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93" name="Line 374">
          <a:extLst>
            <a:ext uri="{FF2B5EF4-FFF2-40B4-BE49-F238E27FC236}">
              <a16:creationId xmlns:a16="http://schemas.microsoft.com/office/drawing/2014/main" id="{00000000-0008-0000-0100-000055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1428750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94" name="Line 375">
          <a:extLst>
            <a:ext uri="{FF2B5EF4-FFF2-40B4-BE49-F238E27FC236}">
              <a16:creationId xmlns:a16="http://schemas.microsoft.com/office/drawing/2014/main" id="{00000000-0008-0000-0100-000056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106</xdr:row>
      <xdr:rowOff>0</xdr:rowOff>
    </xdr:from>
    <xdr:to>
      <xdr:col>8</xdr:col>
      <xdr:colOff>419100</xdr:colOff>
      <xdr:row>106</xdr:row>
      <xdr:rowOff>0</xdr:rowOff>
    </xdr:to>
    <xdr:sp macro="" textlink="">
      <xdr:nvSpPr>
        <xdr:cNvPr id="17495" name="Line 376">
          <a:extLst>
            <a:ext uri="{FF2B5EF4-FFF2-40B4-BE49-F238E27FC236}">
              <a16:creationId xmlns:a16="http://schemas.microsoft.com/office/drawing/2014/main" id="{00000000-0008-0000-0100-000057440000}"/>
            </a:ext>
          </a:extLst>
        </xdr:cNvPr>
        <xdr:cNvSpPr>
          <a:spLocks noChangeShapeType="1"/>
        </xdr:cNvSpPr>
      </xdr:nvSpPr>
      <xdr:spPr bwMode="auto">
        <a:xfrm>
          <a:off x="7715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106</xdr:row>
      <xdr:rowOff>0</xdr:rowOff>
    </xdr:from>
    <xdr:to>
      <xdr:col>2</xdr:col>
      <xdr:colOff>485775</xdr:colOff>
      <xdr:row>106</xdr:row>
      <xdr:rowOff>0</xdr:rowOff>
    </xdr:to>
    <xdr:sp macro="" textlink="">
      <xdr:nvSpPr>
        <xdr:cNvPr id="17496" name="Line 379">
          <a:extLst>
            <a:ext uri="{FF2B5EF4-FFF2-40B4-BE49-F238E27FC236}">
              <a16:creationId xmlns:a16="http://schemas.microsoft.com/office/drawing/2014/main" id="{00000000-0008-0000-0100-000058440000}"/>
            </a:ext>
          </a:extLst>
        </xdr:cNvPr>
        <xdr:cNvSpPr>
          <a:spLocks noChangeShapeType="1"/>
        </xdr:cNvSpPr>
      </xdr:nvSpPr>
      <xdr:spPr bwMode="auto">
        <a:xfrm flipV="1">
          <a:off x="2295525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106</xdr:row>
      <xdr:rowOff>0</xdr:rowOff>
    </xdr:from>
    <xdr:to>
      <xdr:col>2</xdr:col>
      <xdr:colOff>485775</xdr:colOff>
      <xdr:row>106</xdr:row>
      <xdr:rowOff>0</xdr:rowOff>
    </xdr:to>
    <xdr:sp macro="" textlink="">
      <xdr:nvSpPr>
        <xdr:cNvPr id="17497" name="Line 380">
          <a:extLst>
            <a:ext uri="{FF2B5EF4-FFF2-40B4-BE49-F238E27FC236}">
              <a16:creationId xmlns:a16="http://schemas.microsoft.com/office/drawing/2014/main" id="{00000000-0008-0000-0100-000059440000}"/>
            </a:ext>
          </a:extLst>
        </xdr:cNvPr>
        <xdr:cNvSpPr>
          <a:spLocks noChangeShapeType="1"/>
        </xdr:cNvSpPr>
      </xdr:nvSpPr>
      <xdr:spPr bwMode="auto">
        <a:xfrm>
          <a:off x="2295525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8" name="Line 381">
          <a:extLst>
            <a:ext uri="{FF2B5EF4-FFF2-40B4-BE49-F238E27FC236}">
              <a16:creationId xmlns:a16="http://schemas.microsoft.com/office/drawing/2014/main" id="{00000000-0008-0000-0100-00005A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9" name="Line 382">
          <a:extLst>
            <a:ext uri="{FF2B5EF4-FFF2-40B4-BE49-F238E27FC236}">
              <a16:creationId xmlns:a16="http://schemas.microsoft.com/office/drawing/2014/main" id="{00000000-0008-0000-0100-00005B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71</xdr:row>
      <xdr:rowOff>0</xdr:rowOff>
    </xdr:from>
    <xdr:to>
      <xdr:col>3</xdr:col>
      <xdr:colOff>647700</xdr:colOff>
      <xdr:row>71</xdr:row>
      <xdr:rowOff>0</xdr:rowOff>
    </xdr:to>
    <xdr:grpSp>
      <xdr:nvGrpSpPr>
        <xdr:cNvPr id="17500" name="Group 390">
          <a:extLst>
            <a:ext uri="{FF2B5EF4-FFF2-40B4-BE49-F238E27FC236}">
              <a16:creationId xmlns:a16="http://schemas.microsoft.com/office/drawing/2014/main" id="{00000000-0008-0000-0100-00005C440000}"/>
            </a:ext>
          </a:extLst>
        </xdr:cNvPr>
        <xdr:cNvGrpSpPr>
          <a:grpSpLocks/>
        </xdr:cNvGrpSpPr>
      </xdr:nvGrpSpPr>
      <xdr:grpSpPr bwMode="auto">
        <a:xfrm>
          <a:off x="3619500" y="14201775"/>
          <a:ext cx="133350" cy="0"/>
          <a:chOff x="2592" y="2112"/>
          <a:chExt cx="96" cy="96"/>
        </a:xfrm>
      </xdr:grpSpPr>
      <xdr:sp macro="" textlink="">
        <xdr:nvSpPr>
          <xdr:cNvPr id="17549" name="Oval 391">
            <a:extLst>
              <a:ext uri="{FF2B5EF4-FFF2-40B4-BE49-F238E27FC236}">
                <a16:creationId xmlns:a16="http://schemas.microsoft.com/office/drawing/2014/main" id="{00000000-0008-0000-0100-00008D440000}"/>
              </a:ext>
            </a:extLst>
          </xdr:cNvPr>
          <xdr:cNvSpPr>
            <a:spLocks noChangeArrowheads="1"/>
          </xdr:cNvSpPr>
        </xdr:nvSpPr>
        <xdr:spPr bwMode="auto">
          <a:xfrm>
            <a:off x="2592" y="2112"/>
            <a:ext cx="96" cy="96"/>
          </a:xfrm>
          <a:prstGeom prst="ellips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50" name="Line 392">
            <a:extLst>
              <a:ext uri="{FF2B5EF4-FFF2-40B4-BE49-F238E27FC236}">
                <a16:creationId xmlns:a16="http://schemas.microsoft.com/office/drawing/2014/main" id="{00000000-0008-0000-0100-00008E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592" y="2112"/>
            <a:ext cx="96" cy="9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absolute">
    <xdr:from>
      <xdr:col>7</xdr:col>
      <xdr:colOff>133350</xdr:colOff>
      <xdr:row>49</xdr:row>
      <xdr:rowOff>76200</xdr:rowOff>
    </xdr:from>
    <xdr:to>
      <xdr:col>8</xdr:col>
      <xdr:colOff>771525</xdr:colOff>
      <xdr:row>54</xdr:row>
      <xdr:rowOff>276225</xdr:rowOff>
    </xdr:to>
    <xdr:grpSp>
      <xdr:nvGrpSpPr>
        <xdr:cNvPr id="17501" name="Group 586">
          <a:extLst>
            <a:ext uri="{FF2B5EF4-FFF2-40B4-BE49-F238E27FC236}">
              <a16:creationId xmlns:a16="http://schemas.microsoft.com/office/drawing/2014/main" id="{00000000-0008-0000-0100-00005D440000}"/>
            </a:ext>
          </a:extLst>
        </xdr:cNvPr>
        <xdr:cNvGrpSpPr>
          <a:grpSpLocks/>
        </xdr:cNvGrpSpPr>
      </xdr:nvGrpSpPr>
      <xdr:grpSpPr bwMode="auto">
        <a:xfrm>
          <a:off x="6953250" y="9886950"/>
          <a:ext cx="1066800" cy="1123950"/>
          <a:chOff x="502" y="1094"/>
          <a:chExt cx="116" cy="124"/>
        </a:xfrm>
      </xdr:grpSpPr>
      <xdr:pic>
        <xdr:nvPicPr>
          <xdr:cNvPr id="17547" name="Picture 538" descr="chave_fusivel_modelo_dhc_base_c">
            <a:extLst>
              <a:ext uri="{FF2B5EF4-FFF2-40B4-BE49-F238E27FC236}">
                <a16:creationId xmlns:a16="http://schemas.microsoft.com/office/drawing/2014/main" id="{00000000-0008-0000-0100-00008B4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890755">
            <a:off x="502" y="1094"/>
            <a:ext cx="116" cy="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548" name="Oval 580">
            <a:extLst>
              <a:ext uri="{FF2B5EF4-FFF2-40B4-BE49-F238E27FC236}">
                <a16:creationId xmlns:a16="http://schemas.microsoft.com/office/drawing/2014/main" id="{00000000-0008-0000-0100-00008C440000}"/>
              </a:ext>
            </a:extLst>
          </xdr:cNvPr>
          <xdr:cNvSpPr>
            <a:spLocks noChangeArrowheads="1"/>
          </xdr:cNvSpPr>
        </xdr:nvSpPr>
        <xdr:spPr bwMode="auto">
          <a:xfrm rot="-303268">
            <a:off x="509" y="1111"/>
            <a:ext cx="55" cy="107"/>
          </a:xfrm>
          <a:prstGeom prst="ellipse">
            <a:avLst/>
          </a:prstGeom>
          <a:noFill/>
          <a:ln w="254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absolute">
    <xdr:from>
      <xdr:col>1</xdr:col>
      <xdr:colOff>1552575</xdr:colOff>
      <xdr:row>34</xdr:row>
      <xdr:rowOff>161925</xdr:rowOff>
    </xdr:from>
    <xdr:to>
      <xdr:col>4</xdr:col>
      <xdr:colOff>47625</xdr:colOff>
      <xdr:row>37</xdr:row>
      <xdr:rowOff>28575</xdr:rowOff>
    </xdr:to>
    <xdr:sp macro="" textlink="">
      <xdr:nvSpPr>
        <xdr:cNvPr id="17502" name="Rectangle 3284">
          <a:extLst>
            <a:ext uri="{FF2B5EF4-FFF2-40B4-BE49-F238E27FC236}">
              <a16:creationId xmlns:a16="http://schemas.microsoft.com/office/drawing/2014/main" id="{00000000-0008-0000-0100-00005E440000}"/>
            </a:ext>
          </a:extLst>
        </xdr:cNvPr>
        <xdr:cNvSpPr>
          <a:spLocks noChangeArrowheads="1"/>
        </xdr:cNvSpPr>
      </xdr:nvSpPr>
      <xdr:spPr bwMode="auto">
        <a:xfrm>
          <a:off x="1771650" y="7115175"/>
          <a:ext cx="2247900" cy="457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0</xdr:colOff>
      <xdr:row>50</xdr:row>
      <xdr:rowOff>0</xdr:rowOff>
    </xdr:from>
    <xdr:to>
      <xdr:col>4</xdr:col>
      <xdr:colOff>28575</xdr:colOff>
      <xdr:row>51</xdr:row>
      <xdr:rowOff>0</xdr:rowOff>
    </xdr:to>
    <xdr:sp macro="" textlink="">
      <xdr:nvSpPr>
        <xdr:cNvPr id="17503" name="Rectangle 3288">
          <a:extLst>
            <a:ext uri="{FF2B5EF4-FFF2-40B4-BE49-F238E27FC236}">
              <a16:creationId xmlns:a16="http://schemas.microsoft.com/office/drawing/2014/main" id="{00000000-0008-0000-0100-00005F440000}"/>
            </a:ext>
          </a:extLst>
        </xdr:cNvPr>
        <xdr:cNvSpPr>
          <a:spLocks noChangeArrowheads="1"/>
        </xdr:cNvSpPr>
      </xdr:nvSpPr>
      <xdr:spPr bwMode="auto">
        <a:xfrm>
          <a:off x="3105150" y="9915525"/>
          <a:ext cx="89535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</xdr:col>
      <xdr:colOff>0</xdr:colOff>
      <xdr:row>77</xdr:row>
      <xdr:rowOff>0</xdr:rowOff>
    </xdr:to>
    <xdr:sp macro="" textlink="">
      <xdr:nvSpPr>
        <xdr:cNvPr id="17504" name="Rectangle 3295">
          <a:extLst>
            <a:ext uri="{FF2B5EF4-FFF2-40B4-BE49-F238E27FC236}">
              <a16:creationId xmlns:a16="http://schemas.microsoft.com/office/drawing/2014/main" id="{00000000-0008-0000-0100-000060440000}"/>
            </a:ext>
          </a:extLst>
        </xdr:cNvPr>
        <xdr:cNvSpPr>
          <a:spLocks noChangeArrowheads="1"/>
        </xdr:cNvSpPr>
      </xdr:nvSpPr>
      <xdr:spPr bwMode="auto">
        <a:xfrm>
          <a:off x="219075" y="14049375"/>
          <a:ext cx="37528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57150</xdr:colOff>
      <xdr:row>136</xdr:row>
      <xdr:rowOff>0</xdr:rowOff>
    </xdr:from>
    <xdr:to>
      <xdr:col>3</xdr:col>
      <xdr:colOff>591075</xdr:colOff>
      <xdr:row>137</xdr:row>
      <xdr:rowOff>2442</xdr:rowOff>
    </xdr:to>
    <xdr:sp macro="" textlink="">
      <xdr:nvSpPr>
        <xdr:cNvPr id="17505" name="Rectangle 3304">
          <a:extLst>
            <a:ext uri="{FF2B5EF4-FFF2-40B4-BE49-F238E27FC236}">
              <a16:creationId xmlns:a16="http://schemas.microsoft.com/office/drawing/2014/main" id="{00000000-0008-0000-0100-000061440000}"/>
            </a:ext>
          </a:extLst>
        </xdr:cNvPr>
        <xdr:cNvSpPr>
          <a:spLocks noChangeArrowheads="1"/>
        </xdr:cNvSpPr>
      </xdr:nvSpPr>
      <xdr:spPr bwMode="auto">
        <a:xfrm>
          <a:off x="276225" y="18268950"/>
          <a:ext cx="342000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28575</xdr:colOff>
      <xdr:row>135</xdr:row>
      <xdr:rowOff>142875</xdr:rowOff>
    </xdr:from>
    <xdr:to>
      <xdr:col>8</xdr:col>
      <xdr:colOff>66675</xdr:colOff>
      <xdr:row>140</xdr:row>
      <xdr:rowOff>28575</xdr:rowOff>
    </xdr:to>
    <xdr:sp macro="" textlink="">
      <xdr:nvSpPr>
        <xdr:cNvPr id="17506" name="Rectangle 3305">
          <a:extLst>
            <a:ext uri="{FF2B5EF4-FFF2-40B4-BE49-F238E27FC236}">
              <a16:creationId xmlns:a16="http://schemas.microsoft.com/office/drawing/2014/main" id="{00000000-0008-0000-0100-000062440000}"/>
            </a:ext>
          </a:extLst>
        </xdr:cNvPr>
        <xdr:cNvSpPr>
          <a:spLocks noChangeArrowheads="1"/>
        </xdr:cNvSpPr>
      </xdr:nvSpPr>
      <xdr:spPr bwMode="auto">
        <a:xfrm>
          <a:off x="5029200" y="18249900"/>
          <a:ext cx="2247900" cy="4095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104775</xdr:colOff>
      <xdr:row>65</xdr:row>
      <xdr:rowOff>76200</xdr:rowOff>
    </xdr:from>
    <xdr:to>
      <xdr:col>8</xdr:col>
      <xdr:colOff>542925</xdr:colOff>
      <xdr:row>69</xdr:row>
      <xdr:rowOff>180975</xdr:rowOff>
    </xdr:to>
    <xdr:pic>
      <xdr:nvPicPr>
        <xdr:cNvPr id="17507" name="Picture 3463" descr="pirelli_cabo_aereo_1">
          <a:extLst>
            <a:ext uri="{FF2B5EF4-FFF2-40B4-BE49-F238E27FC236}">
              <a16:creationId xmlns:a16="http://schemas.microsoft.com/office/drawing/2014/main" id="{00000000-0008-0000-0100-000063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992100"/>
          <a:ext cx="4381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190500</xdr:colOff>
      <xdr:row>133</xdr:row>
      <xdr:rowOff>180975</xdr:rowOff>
    </xdr:from>
    <xdr:to>
      <xdr:col>5</xdr:col>
      <xdr:colOff>19050</xdr:colOff>
      <xdr:row>135</xdr:row>
      <xdr:rowOff>38100</xdr:rowOff>
    </xdr:to>
    <xdr:sp macro="" textlink="">
      <xdr:nvSpPr>
        <xdr:cNvPr id="17508" name="Rectangle 3484">
          <a:extLst>
            <a:ext uri="{FF2B5EF4-FFF2-40B4-BE49-F238E27FC236}">
              <a16:creationId xmlns:a16="http://schemas.microsoft.com/office/drawing/2014/main" id="{00000000-0008-0000-0100-000064440000}"/>
            </a:ext>
          </a:extLst>
        </xdr:cNvPr>
        <xdr:cNvSpPr>
          <a:spLocks noChangeArrowheads="1"/>
        </xdr:cNvSpPr>
      </xdr:nvSpPr>
      <xdr:spPr bwMode="auto">
        <a:xfrm>
          <a:off x="2000250" y="17887950"/>
          <a:ext cx="3019425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1400175</xdr:colOff>
      <xdr:row>103</xdr:row>
      <xdr:rowOff>152400</xdr:rowOff>
    </xdr:from>
    <xdr:to>
      <xdr:col>2</xdr:col>
      <xdr:colOff>552450</xdr:colOff>
      <xdr:row>103</xdr:row>
      <xdr:rowOff>152400</xdr:rowOff>
    </xdr:to>
    <xdr:sp macro="" textlink="">
      <xdr:nvSpPr>
        <xdr:cNvPr id="17509" name="Line 3487">
          <a:extLst>
            <a:ext uri="{FF2B5EF4-FFF2-40B4-BE49-F238E27FC236}">
              <a16:creationId xmlns:a16="http://schemas.microsoft.com/office/drawing/2014/main" id="{00000000-0008-0000-0100-000065440000}"/>
            </a:ext>
          </a:extLst>
        </xdr:cNvPr>
        <xdr:cNvSpPr>
          <a:spLocks noChangeShapeType="1"/>
        </xdr:cNvSpPr>
      </xdr:nvSpPr>
      <xdr:spPr bwMode="auto">
        <a:xfrm>
          <a:off x="1619250" y="14049375"/>
          <a:ext cx="742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962025</xdr:colOff>
      <xdr:row>25</xdr:row>
      <xdr:rowOff>95250</xdr:rowOff>
    </xdr:from>
    <xdr:to>
      <xdr:col>16383</xdr:col>
      <xdr:colOff>84992</xdr:colOff>
      <xdr:row>32</xdr:row>
      <xdr:rowOff>47625</xdr:rowOff>
    </xdr:to>
    <xdr:grpSp>
      <xdr:nvGrpSpPr>
        <xdr:cNvPr id="17510" name="Grupo 49">
          <a:extLst>
            <a:ext uri="{FF2B5EF4-FFF2-40B4-BE49-F238E27FC236}">
              <a16:creationId xmlns:a16="http://schemas.microsoft.com/office/drawing/2014/main" id="{00000000-0008-0000-0100-000066440000}"/>
            </a:ext>
          </a:extLst>
        </xdr:cNvPr>
        <xdr:cNvGrpSpPr>
          <a:grpSpLocks/>
        </xdr:cNvGrpSpPr>
      </xdr:nvGrpSpPr>
      <xdr:grpSpPr bwMode="auto">
        <a:xfrm flipH="1">
          <a:off x="5962650" y="4781550"/>
          <a:ext cx="2237642" cy="1857375"/>
          <a:chOff x="-130597" y="0"/>
          <a:chExt cx="2845223" cy="2029702"/>
        </a:xfrm>
      </xdr:grpSpPr>
      <xdr:grpSp>
        <xdr:nvGrpSpPr>
          <xdr:cNvPr id="17534" name="Grupo 50">
            <a:extLst>
              <a:ext uri="{FF2B5EF4-FFF2-40B4-BE49-F238E27FC236}">
                <a16:creationId xmlns:a16="http://schemas.microsoft.com/office/drawing/2014/main" id="{00000000-0008-0000-0100-00007E440000}"/>
              </a:ext>
            </a:extLst>
          </xdr:cNvPr>
          <xdr:cNvGrpSpPr>
            <a:grpSpLocks/>
          </xdr:cNvGrpSpPr>
        </xdr:nvGrpSpPr>
        <xdr:grpSpPr bwMode="auto">
          <a:xfrm>
            <a:off x="361950" y="114300"/>
            <a:ext cx="2352676" cy="1915402"/>
            <a:chOff x="0" y="0"/>
            <a:chExt cx="2352676" cy="1915402"/>
          </a:xfrm>
        </xdr:grpSpPr>
        <xdr:grpSp>
          <xdr:nvGrpSpPr>
            <xdr:cNvPr id="17542" name="Grupo 58">
              <a:extLs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0"/>
              <a:ext cx="2352676" cy="1524001"/>
              <a:chOff x="0" y="0"/>
              <a:chExt cx="2352676" cy="1524001"/>
            </a:xfrm>
          </xdr:grpSpPr>
          <xdr:sp macro="" textlink="">
            <xdr:nvSpPr>
              <xdr:cNvPr id="62" name="Triângulo retângulo 61">
                <a:extLst>
                  <a:ext uri="{FF2B5EF4-FFF2-40B4-BE49-F238E27FC236}">
                    <a16:creationId xmlns:a16="http://schemas.microsoft.com/office/drawing/2014/main" id="{00000000-0008-0000-0100-00003E000000}"/>
                  </a:ext>
                </a:extLst>
              </xdr:cNvPr>
              <xdr:cNvSpPr/>
            </xdr:nvSpPr>
            <xdr:spPr>
              <a:xfrm>
                <a:off x="3854" y="196"/>
                <a:ext cx="2348822" cy="1519675"/>
              </a:xfrm>
              <a:prstGeom prst="rtTriangl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pt-BR"/>
              </a:p>
            </xdr:txBody>
          </xdr:sp>
          <xdr:cxnSp macro="">
            <xdr:nvCxnSpPr>
              <xdr:cNvPr id="63" name="Conector reto 62">
                <a:extLst>
                  <a:ext uri="{FF2B5EF4-FFF2-40B4-BE49-F238E27FC236}">
                    <a16:creationId xmlns:a16="http://schemas.microsoft.com/office/drawing/2014/main" id="{00000000-0008-0000-0100-00003F000000}"/>
                  </a:ext>
                </a:extLst>
              </xdr:cNvPr>
              <xdr:cNvCxnSpPr/>
            </xdr:nvCxnSpPr>
            <xdr:spPr>
              <a:xfrm flipH="1" flipV="1">
                <a:off x="3854" y="749624"/>
                <a:ext cx="2348822" cy="770246"/>
              </a:xfrm>
              <a:prstGeom prst="line">
                <a:avLst/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0" name="Arco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/>
          </xdr:nvSpPr>
          <xdr:spPr>
            <a:xfrm rot="14810657">
              <a:off x="1163788" y="1077627"/>
              <a:ext cx="1009647" cy="665903"/>
            </a:xfrm>
            <a:prstGeom prst="arc">
              <a:avLst>
                <a:gd name="adj1" fmla="val 16358979"/>
                <a:gd name="adj2" fmla="val 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61" name="Arco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/>
          </xdr:nvSpPr>
          <xdr:spPr>
            <a:xfrm rot="14810657">
              <a:off x="1594576" y="1298324"/>
              <a:ext cx="353897" cy="339005"/>
            </a:xfrm>
            <a:prstGeom prst="arc">
              <a:avLst>
                <a:gd name="adj1" fmla="val 16358979"/>
                <a:gd name="adj2" fmla="val 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</xdr:grpSp>
      <xdr:sp macro="" textlink="">
        <xdr:nvSpPr>
          <xdr:cNvPr id="52" name="Caixa de texto 1120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-118490" y="0"/>
            <a:ext cx="556937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Q1</a:t>
            </a:r>
          </a:p>
        </xdr:txBody>
      </xdr:sp>
      <xdr:sp macro="" textlink="">
        <xdr:nvSpPr>
          <xdr:cNvPr id="53" name="Caixa de texto 1121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-130597" y="1061690"/>
            <a:ext cx="569045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Q2</a:t>
            </a:r>
          </a:p>
        </xdr:txBody>
      </xdr:sp>
      <xdr:sp macro="" textlink="">
        <xdr:nvSpPr>
          <xdr:cNvPr id="54" name="Caixa de texto 1122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>
            <a:off x="1140673" y="447575"/>
            <a:ext cx="556937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S1</a:t>
            </a:r>
          </a:p>
        </xdr:txBody>
      </xdr:sp>
      <xdr:sp macro="" textlink="">
        <xdr:nvSpPr>
          <xdr:cNvPr id="55" name="Caixa de texto 1123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607950" y="770246"/>
            <a:ext cx="544830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S2</a:t>
            </a:r>
          </a:p>
        </xdr:txBody>
      </xdr:sp>
      <xdr:sp macro="" textlink="">
        <xdr:nvSpPr>
          <xdr:cNvPr id="56" name="Caixa de texto 1124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>
            <a:off x="1164888" y="1571718"/>
            <a:ext cx="435864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P</a:t>
            </a:r>
          </a:p>
        </xdr:txBody>
      </xdr:sp>
      <xdr:sp macro="" textlink="">
        <xdr:nvSpPr>
          <xdr:cNvPr id="57" name="Caixa de texto 1125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1298068" y="905559"/>
            <a:ext cx="496401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Arial"/>
              </a:rPr>
              <a:t>φ</a:t>
            </a: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1</a:t>
            </a:r>
          </a:p>
        </xdr:txBody>
      </xdr:sp>
      <xdr:sp macro="" textlink="">
        <xdr:nvSpPr>
          <xdr:cNvPr id="58" name="Caixa de texto 1126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>
            <a:off x="1479678" y="1311500"/>
            <a:ext cx="581152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Arial"/>
              </a:rPr>
              <a:t>φ2</a:t>
            </a:r>
            <a:endParaRPr lang="pt-BR" sz="1100">
              <a:effectLst/>
              <a:latin typeface="Arial"/>
              <a:ea typeface="Times New Roman"/>
              <a:cs typeface="Times New Roman"/>
            </a:endParaRPr>
          </a:p>
        </xdr:txBody>
      </xdr:sp>
    </xdr:grpSp>
    <xdr:clientData/>
  </xdr:twoCellAnchor>
  <xdr:twoCellAnchor editAs="absolute">
    <xdr:from>
      <xdr:col>6</xdr:col>
      <xdr:colOff>0</xdr:colOff>
      <xdr:row>57</xdr:row>
      <xdr:rowOff>57150</xdr:rowOff>
    </xdr:from>
    <xdr:to>
      <xdr:col>8</xdr:col>
      <xdr:colOff>829650</xdr:colOff>
      <xdr:row>62</xdr:row>
      <xdr:rowOff>207900</xdr:rowOff>
    </xdr:to>
    <xdr:pic>
      <xdr:nvPicPr>
        <xdr:cNvPr id="17511" name="Picture 3">
          <a:extLst>
            <a:ext uri="{FF2B5EF4-FFF2-40B4-BE49-F238E27FC236}">
              <a16:creationId xmlns:a16="http://schemas.microsoft.com/office/drawing/2014/main" id="{00000000-0008-0000-0100-000067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25250"/>
          <a:ext cx="2106000" cy="10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457200</xdr:colOff>
      <xdr:row>65</xdr:row>
      <xdr:rowOff>114300</xdr:rowOff>
    </xdr:from>
    <xdr:to>
      <xdr:col>7</xdr:col>
      <xdr:colOff>247650</xdr:colOff>
      <xdr:row>69</xdr:row>
      <xdr:rowOff>238125</xdr:rowOff>
    </xdr:to>
    <xdr:pic>
      <xdr:nvPicPr>
        <xdr:cNvPr id="17512" name="Imagem 64">
          <a:extLst>
            <a:ext uri="{FF2B5EF4-FFF2-40B4-BE49-F238E27FC236}">
              <a16:creationId xmlns:a16="http://schemas.microsoft.com/office/drawing/2014/main" id="{00000000-0008-0000-0100-000068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3030200"/>
          <a:ext cx="1609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914399</xdr:colOff>
      <xdr:row>119</xdr:row>
      <xdr:rowOff>123825</xdr:rowOff>
    </xdr:from>
    <xdr:to>
      <xdr:col>8</xdr:col>
      <xdr:colOff>106499</xdr:colOff>
      <xdr:row>123</xdr:row>
      <xdr:rowOff>19050</xdr:rowOff>
    </xdr:to>
    <xdr:sp macro="" textlink="">
      <xdr:nvSpPr>
        <xdr:cNvPr id="17513" name="Rectangle 3299">
          <a:extLst>
            <a:ext uri="{FF2B5EF4-FFF2-40B4-BE49-F238E27FC236}">
              <a16:creationId xmlns:a16="http://schemas.microsoft.com/office/drawing/2014/main" id="{00000000-0008-0000-0100-000069440000}"/>
            </a:ext>
          </a:extLst>
        </xdr:cNvPr>
        <xdr:cNvSpPr>
          <a:spLocks noChangeArrowheads="1"/>
        </xdr:cNvSpPr>
      </xdr:nvSpPr>
      <xdr:spPr bwMode="auto">
        <a:xfrm>
          <a:off x="5915024" y="15573375"/>
          <a:ext cx="1440000" cy="619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952500</xdr:colOff>
      <xdr:row>35</xdr:row>
      <xdr:rowOff>0</xdr:rowOff>
    </xdr:from>
    <xdr:to>
      <xdr:col>6</xdr:col>
      <xdr:colOff>771525</xdr:colOff>
      <xdr:row>37</xdr:row>
      <xdr:rowOff>9525</xdr:rowOff>
    </xdr:to>
    <xdr:sp macro="" textlink="">
      <xdr:nvSpPr>
        <xdr:cNvPr id="17514" name="Rectangle 3286">
          <a:extLst>
            <a:ext uri="{FF2B5EF4-FFF2-40B4-BE49-F238E27FC236}">
              <a16:creationId xmlns:a16="http://schemas.microsoft.com/office/drawing/2014/main" id="{00000000-0008-0000-0100-00006A440000}"/>
            </a:ext>
          </a:extLst>
        </xdr:cNvPr>
        <xdr:cNvSpPr>
          <a:spLocks noChangeArrowheads="1"/>
        </xdr:cNvSpPr>
      </xdr:nvSpPr>
      <xdr:spPr bwMode="auto">
        <a:xfrm>
          <a:off x="5953125" y="7153275"/>
          <a:ext cx="79057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942975</xdr:colOff>
      <xdr:row>38</xdr:row>
      <xdr:rowOff>9525</xdr:rowOff>
    </xdr:from>
    <xdr:to>
      <xdr:col>6</xdr:col>
      <xdr:colOff>790575</xdr:colOff>
      <xdr:row>41</xdr:row>
      <xdr:rowOff>9525</xdr:rowOff>
    </xdr:to>
    <xdr:sp macro="" textlink="">
      <xdr:nvSpPr>
        <xdr:cNvPr id="17515" name="Rectangle 3286">
          <a:extLst>
            <a:ext uri="{FF2B5EF4-FFF2-40B4-BE49-F238E27FC236}">
              <a16:creationId xmlns:a16="http://schemas.microsoft.com/office/drawing/2014/main" id="{00000000-0008-0000-0100-00006B440000}"/>
            </a:ext>
          </a:extLst>
        </xdr:cNvPr>
        <xdr:cNvSpPr>
          <a:spLocks noChangeArrowheads="1"/>
        </xdr:cNvSpPr>
      </xdr:nvSpPr>
      <xdr:spPr bwMode="auto">
        <a:xfrm>
          <a:off x="5943600" y="7715250"/>
          <a:ext cx="819150" cy="5619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304800</xdr:colOff>
          <xdr:row>71</xdr:row>
          <xdr:rowOff>0</xdr:rowOff>
        </xdr:from>
        <xdr:to>
          <xdr:col>2</xdr:col>
          <xdr:colOff>152400</xdr:colOff>
          <xdr:row>71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</xdr:row>
          <xdr:rowOff>38100</xdr:rowOff>
        </xdr:from>
        <xdr:to>
          <xdr:col>8</xdr:col>
          <xdr:colOff>704850</xdr:colOff>
          <xdr:row>1</xdr:row>
          <xdr:rowOff>295275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0000" tIns="54000" rIns="90000" bIns="54000" anchor="ctr" upright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LocksWithSheet="0" fPrintsWithSheet="0"/>
      </xdr:twoCellAnchor>
    </mc:Choice>
    <mc:Fallback/>
  </mc:AlternateContent>
  <xdr:twoCellAnchor editAs="absolute">
    <xdr:from>
      <xdr:col>4</xdr:col>
      <xdr:colOff>171450</xdr:colOff>
      <xdr:row>39</xdr:row>
      <xdr:rowOff>9525</xdr:rowOff>
    </xdr:from>
    <xdr:to>
      <xdr:col>4</xdr:col>
      <xdr:colOff>857250</xdr:colOff>
      <xdr:row>40</xdr:row>
      <xdr:rowOff>142875</xdr:rowOff>
    </xdr:to>
    <xdr:sp macro="" textlink="">
      <xdr:nvSpPr>
        <xdr:cNvPr id="17516" name="Rectangle 3284">
          <a:extLst>
            <a:ext uri="{FF2B5EF4-FFF2-40B4-BE49-F238E27FC236}">
              <a16:creationId xmlns:a16="http://schemas.microsoft.com/office/drawing/2014/main" id="{00000000-0008-0000-0100-00006C440000}"/>
            </a:ext>
          </a:extLst>
        </xdr:cNvPr>
        <xdr:cNvSpPr>
          <a:spLocks noChangeArrowheads="1"/>
        </xdr:cNvSpPr>
      </xdr:nvSpPr>
      <xdr:spPr bwMode="auto">
        <a:xfrm>
          <a:off x="4143375" y="7905750"/>
          <a:ext cx="685800" cy="3429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0</xdr:colOff>
      <xdr:row>52</xdr:row>
      <xdr:rowOff>0</xdr:rowOff>
    </xdr:from>
    <xdr:to>
      <xdr:col>4</xdr:col>
      <xdr:colOff>28575</xdr:colOff>
      <xdr:row>52</xdr:row>
      <xdr:rowOff>195384</xdr:rowOff>
    </xdr:to>
    <xdr:sp macro="" textlink="">
      <xdr:nvSpPr>
        <xdr:cNvPr id="17517" name="Rectangle 3288">
          <a:extLst>
            <a:ext uri="{FF2B5EF4-FFF2-40B4-BE49-F238E27FC236}">
              <a16:creationId xmlns:a16="http://schemas.microsoft.com/office/drawing/2014/main" id="{00000000-0008-0000-0100-00006D440000}"/>
            </a:ext>
          </a:extLst>
        </xdr:cNvPr>
        <xdr:cNvSpPr>
          <a:spLocks noChangeArrowheads="1"/>
        </xdr:cNvSpPr>
      </xdr:nvSpPr>
      <xdr:spPr bwMode="auto">
        <a:xfrm>
          <a:off x="3105150" y="10315575"/>
          <a:ext cx="89535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152400</xdr:colOff>
      <xdr:row>33</xdr:row>
      <xdr:rowOff>28575</xdr:rowOff>
    </xdr:from>
    <xdr:to>
      <xdr:col>16383</xdr:col>
      <xdr:colOff>9525</xdr:colOff>
      <xdr:row>46</xdr:row>
      <xdr:rowOff>304800</xdr:rowOff>
    </xdr:to>
    <xdr:pic>
      <xdr:nvPicPr>
        <xdr:cNvPr id="17518" name="Imagem 73" descr="Recorte de Tela">
          <a:extLst>
            <a:ext uri="{FF2B5EF4-FFF2-40B4-BE49-F238E27FC236}">
              <a16:creationId xmlns:a16="http://schemas.microsoft.com/office/drawing/2014/main" id="{00000000-0008-0000-0100-00006E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5" b="2344"/>
        <a:stretch>
          <a:fillRect/>
        </a:stretch>
      </xdr:blipFill>
      <xdr:spPr bwMode="auto">
        <a:xfrm>
          <a:off x="6934200" y="6791325"/>
          <a:ext cx="1152525" cy="249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152400</xdr:colOff>
      <xdr:row>57</xdr:row>
      <xdr:rowOff>200025</xdr:rowOff>
    </xdr:from>
    <xdr:to>
      <xdr:col>3</xdr:col>
      <xdr:colOff>238125</xdr:colOff>
      <xdr:row>59</xdr:row>
      <xdr:rowOff>57150</xdr:rowOff>
    </xdr:to>
    <xdr:sp macro="" textlink="">
      <xdr:nvSpPr>
        <xdr:cNvPr id="17519" name="Rectangle 3288">
          <a:extLst>
            <a:ext uri="{FF2B5EF4-FFF2-40B4-BE49-F238E27FC236}">
              <a16:creationId xmlns:a16="http://schemas.microsoft.com/office/drawing/2014/main" id="{00000000-0008-0000-0100-00006F440000}"/>
            </a:ext>
          </a:extLst>
        </xdr:cNvPr>
        <xdr:cNvSpPr>
          <a:spLocks noChangeArrowheads="1"/>
        </xdr:cNvSpPr>
      </xdr:nvSpPr>
      <xdr:spPr bwMode="auto">
        <a:xfrm>
          <a:off x="1962150" y="11668125"/>
          <a:ext cx="1381125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723899</xdr:colOff>
      <xdr:row>62</xdr:row>
      <xdr:rowOff>38099</xdr:rowOff>
    </xdr:from>
    <xdr:to>
      <xdr:col>6</xdr:col>
      <xdr:colOff>376874</xdr:colOff>
      <xdr:row>63</xdr:row>
      <xdr:rowOff>4081</xdr:rowOff>
    </xdr:to>
    <xdr:sp macro="" textlink="">
      <xdr:nvSpPr>
        <xdr:cNvPr id="17520" name="Rectangle 3288">
          <a:extLst>
            <a:ext uri="{FF2B5EF4-FFF2-40B4-BE49-F238E27FC236}">
              <a16:creationId xmlns:a16="http://schemas.microsoft.com/office/drawing/2014/main" id="{00000000-0008-0000-0100-000070440000}"/>
            </a:ext>
          </a:extLst>
        </xdr:cNvPr>
        <xdr:cNvSpPr>
          <a:spLocks noChangeArrowheads="1"/>
        </xdr:cNvSpPr>
      </xdr:nvSpPr>
      <xdr:spPr bwMode="auto">
        <a:xfrm>
          <a:off x="3829049" y="12363449"/>
          <a:ext cx="2520000" cy="24220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57148</xdr:colOff>
      <xdr:row>63</xdr:row>
      <xdr:rowOff>95249</xdr:rowOff>
    </xdr:from>
    <xdr:to>
      <xdr:col>4</xdr:col>
      <xdr:colOff>933450</xdr:colOff>
      <xdr:row>63</xdr:row>
      <xdr:rowOff>371474</xdr:rowOff>
    </xdr:to>
    <xdr:sp macro="" textlink="">
      <xdr:nvSpPr>
        <xdr:cNvPr id="17521" name="Rectangle 3288">
          <a:extLst>
            <a:ext uri="{FF2B5EF4-FFF2-40B4-BE49-F238E27FC236}">
              <a16:creationId xmlns:a16="http://schemas.microsoft.com/office/drawing/2014/main" id="{00000000-0008-0000-0100-000071440000}"/>
            </a:ext>
          </a:extLst>
        </xdr:cNvPr>
        <xdr:cNvSpPr>
          <a:spLocks noChangeArrowheads="1"/>
        </xdr:cNvSpPr>
      </xdr:nvSpPr>
      <xdr:spPr bwMode="auto">
        <a:xfrm>
          <a:off x="3162298" y="12696824"/>
          <a:ext cx="1743077" cy="276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381000</xdr:colOff>
      <xdr:row>69</xdr:row>
      <xdr:rowOff>19050</xdr:rowOff>
    </xdr:from>
    <xdr:to>
      <xdr:col>2</xdr:col>
      <xdr:colOff>942975</xdr:colOff>
      <xdr:row>70</xdr:row>
      <xdr:rowOff>0</xdr:rowOff>
    </xdr:to>
    <xdr:sp macro="" textlink="">
      <xdr:nvSpPr>
        <xdr:cNvPr id="17522" name="Rectangle 3288">
          <a:extLst>
            <a:ext uri="{FF2B5EF4-FFF2-40B4-BE49-F238E27FC236}">
              <a16:creationId xmlns:a16="http://schemas.microsoft.com/office/drawing/2014/main" id="{00000000-0008-0000-0100-000072440000}"/>
            </a:ext>
          </a:extLst>
        </xdr:cNvPr>
        <xdr:cNvSpPr>
          <a:spLocks noChangeArrowheads="1"/>
        </xdr:cNvSpPr>
      </xdr:nvSpPr>
      <xdr:spPr bwMode="auto">
        <a:xfrm>
          <a:off x="2190750" y="13611225"/>
          <a:ext cx="561975" cy="266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590550</xdr:colOff>
      <xdr:row>69</xdr:row>
      <xdr:rowOff>28575</xdr:rowOff>
    </xdr:from>
    <xdr:to>
      <xdr:col>1</xdr:col>
      <xdr:colOff>1057275</xdr:colOff>
      <xdr:row>70</xdr:row>
      <xdr:rowOff>0</xdr:rowOff>
    </xdr:to>
    <xdr:sp macro="" textlink="">
      <xdr:nvSpPr>
        <xdr:cNvPr id="17523" name="Rectangle 3288">
          <a:extLst>
            <a:ext uri="{FF2B5EF4-FFF2-40B4-BE49-F238E27FC236}">
              <a16:creationId xmlns:a16="http://schemas.microsoft.com/office/drawing/2014/main" id="{00000000-0008-0000-0100-000073440000}"/>
            </a:ext>
          </a:extLst>
        </xdr:cNvPr>
        <xdr:cNvSpPr>
          <a:spLocks noChangeArrowheads="1"/>
        </xdr:cNvSpPr>
      </xdr:nvSpPr>
      <xdr:spPr bwMode="auto">
        <a:xfrm>
          <a:off x="809625" y="13620750"/>
          <a:ext cx="466725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561975</xdr:colOff>
      <xdr:row>57</xdr:row>
      <xdr:rowOff>9525</xdr:rowOff>
    </xdr:from>
    <xdr:to>
      <xdr:col>4</xdr:col>
      <xdr:colOff>466725</xdr:colOff>
      <xdr:row>62</xdr:row>
      <xdr:rowOff>28575</xdr:rowOff>
    </xdr:to>
    <xdr:pic>
      <xdr:nvPicPr>
        <xdr:cNvPr id="17524" name="Picture 579" descr="!À">
          <a:extLst>
            <a:ext uri="{FF2B5EF4-FFF2-40B4-BE49-F238E27FC236}">
              <a16:creationId xmlns:a16="http://schemas.microsoft.com/office/drawing/2014/main" id="{00000000-0008-0000-0100-000074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1420475"/>
          <a:ext cx="771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152400</xdr:colOff>
      <xdr:row>59</xdr:row>
      <xdr:rowOff>133350</xdr:rowOff>
    </xdr:from>
    <xdr:to>
      <xdr:col>3</xdr:col>
      <xdr:colOff>238125</xdr:colOff>
      <xdr:row>61</xdr:row>
      <xdr:rowOff>38100</xdr:rowOff>
    </xdr:to>
    <xdr:sp macro="" textlink="">
      <xdr:nvSpPr>
        <xdr:cNvPr id="17525" name="Rectangle 3288">
          <a:extLst>
            <a:ext uri="{FF2B5EF4-FFF2-40B4-BE49-F238E27FC236}">
              <a16:creationId xmlns:a16="http://schemas.microsoft.com/office/drawing/2014/main" id="{00000000-0008-0000-0100-000075440000}"/>
            </a:ext>
          </a:extLst>
        </xdr:cNvPr>
        <xdr:cNvSpPr>
          <a:spLocks noChangeArrowheads="1"/>
        </xdr:cNvSpPr>
      </xdr:nvSpPr>
      <xdr:spPr bwMode="auto">
        <a:xfrm>
          <a:off x="1962150" y="11915775"/>
          <a:ext cx="1381125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0</xdr:colOff>
      <xdr:row>29</xdr:row>
      <xdr:rowOff>238125</xdr:rowOff>
    </xdr:from>
    <xdr:to>
      <xdr:col>3</xdr:col>
      <xdr:colOff>495300</xdr:colOff>
      <xdr:row>30</xdr:row>
      <xdr:rowOff>238125</xdr:rowOff>
    </xdr:to>
    <xdr:sp macro="" textlink="">
      <xdr:nvSpPr>
        <xdr:cNvPr id="17526" name="Rectangle 3287">
          <a:extLst>
            <a:ext uri="{FF2B5EF4-FFF2-40B4-BE49-F238E27FC236}">
              <a16:creationId xmlns:a16="http://schemas.microsoft.com/office/drawing/2014/main" id="{00000000-0008-0000-0100-000076440000}"/>
            </a:ext>
          </a:extLst>
        </xdr:cNvPr>
        <xdr:cNvSpPr>
          <a:spLocks noChangeArrowheads="1"/>
        </xdr:cNvSpPr>
      </xdr:nvSpPr>
      <xdr:spPr bwMode="auto">
        <a:xfrm>
          <a:off x="1809750" y="6029325"/>
          <a:ext cx="179070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57150</xdr:colOff>
      <xdr:row>26</xdr:row>
      <xdr:rowOff>28575</xdr:rowOff>
    </xdr:from>
    <xdr:to>
      <xdr:col>2</xdr:col>
      <xdr:colOff>1181100</xdr:colOff>
      <xdr:row>26</xdr:row>
      <xdr:rowOff>276225</xdr:rowOff>
    </xdr:to>
    <xdr:sp macro="" textlink="">
      <xdr:nvSpPr>
        <xdr:cNvPr id="17527" name="Rectangle 3287">
          <a:extLst>
            <a:ext uri="{FF2B5EF4-FFF2-40B4-BE49-F238E27FC236}">
              <a16:creationId xmlns:a16="http://schemas.microsoft.com/office/drawing/2014/main" id="{00000000-0008-0000-0100-000077440000}"/>
            </a:ext>
          </a:extLst>
        </xdr:cNvPr>
        <xdr:cNvSpPr>
          <a:spLocks noChangeArrowheads="1"/>
        </xdr:cNvSpPr>
      </xdr:nvSpPr>
      <xdr:spPr bwMode="auto">
        <a:xfrm>
          <a:off x="1866900" y="5029200"/>
          <a:ext cx="112395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104775</xdr:colOff>
      <xdr:row>117</xdr:row>
      <xdr:rowOff>40821</xdr:rowOff>
    </xdr:from>
    <xdr:to>
      <xdr:col>4</xdr:col>
      <xdr:colOff>190500</xdr:colOff>
      <xdr:row>118</xdr:row>
      <xdr:rowOff>47625</xdr:rowOff>
    </xdr:to>
    <xdr:sp macro="" textlink="">
      <xdr:nvSpPr>
        <xdr:cNvPr id="17529" name="Line 315">
          <a:extLst>
            <a:ext uri="{FF2B5EF4-FFF2-40B4-BE49-F238E27FC236}">
              <a16:creationId xmlns:a16="http://schemas.microsoft.com/office/drawing/2014/main" id="{00000000-0008-0000-0100-000079440000}"/>
            </a:ext>
          </a:extLst>
        </xdr:cNvPr>
        <xdr:cNvSpPr>
          <a:spLocks noChangeShapeType="1"/>
        </xdr:cNvSpPr>
      </xdr:nvSpPr>
      <xdr:spPr bwMode="auto">
        <a:xfrm flipV="1">
          <a:off x="4078061" y="15144750"/>
          <a:ext cx="85725" cy="1973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823232</xdr:colOff>
      <xdr:row>109</xdr:row>
      <xdr:rowOff>66675</xdr:rowOff>
    </xdr:from>
    <xdr:to>
      <xdr:col>5</xdr:col>
      <xdr:colOff>19050</xdr:colOff>
      <xdr:row>117</xdr:row>
      <xdr:rowOff>0</xdr:rowOff>
    </xdr:to>
    <xdr:sp macro="" textlink="">
      <xdr:nvSpPr>
        <xdr:cNvPr id="17530" name="Rectangle 3484">
          <a:extLst>
            <a:ext uri="{FF2B5EF4-FFF2-40B4-BE49-F238E27FC236}">
              <a16:creationId xmlns:a16="http://schemas.microsoft.com/office/drawing/2014/main" id="{00000000-0008-0000-0100-00007A440000}"/>
            </a:ext>
          </a:extLst>
        </xdr:cNvPr>
        <xdr:cNvSpPr>
          <a:spLocks noChangeArrowheads="1"/>
        </xdr:cNvSpPr>
      </xdr:nvSpPr>
      <xdr:spPr bwMode="auto">
        <a:xfrm>
          <a:off x="3928382" y="14525625"/>
          <a:ext cx="1091293" cy="542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120795</xdr:colOff>
      <xdr:row>17</xdr:row>
      <xdr:rowOff>38100</xdr:rowOff>
    </xdr:from>
    <xdr:to>
      <xdr:col>2</xdr:col>
      <xdr:colOff>1056795</xdr:colOff>
      <xdr:row>19</xdr:row>
      <xdr:rowOff>47625</xdr:rowOff>
    </xdr:to>
    <xdr:sp macro="" textlink="">
      <xdr:nvSpPr>
        <xdr:cNvPr id="17531" name="Rectangle 3287">
          <a:extLst>
            <a:ext uri="{FF2B5EF4-FFF2-40B4-BE49-F238E27FC236}">
              <a16:creationId xmlns:a16="http://schemas.microsoft.com/office/drawing/2014/main" id="{00000000-0008-0000-0100-00007B440000}"/>
            </a:ext>
          </a:extLst>
        </xdr:cNvPr>
        <xdr:cNvSpPr>
          <a:spLocks noChangeArrowheads="1"/>
        </xdr:cNvSpPr>
      </xdr:nvSpPr>
      <xdr:spPr bwMode="auto">
        <a:xfrm>
          <a:off x="1930545" y="3771900"/>
          <a:ext cx="9360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19</xdr:row>
      <xdr:rowOff>123825</xdr:rowOff>
    </xdr:from>
    <xdr:to>
      <xdr:col>2</xdr:col>
      <xdr:colOff>1078875</xdr:colOff>
      <xdr:row>23</xdr:row>
      <xdr:rowOff>17475</xdr:rowOff>
    </xdr:to>
    <xdr:sp macro="" textlink="">
      <xdr:nvSpPr>
        <xdr:cNvPr id="17532" name="Rectangle 3287">
          <a:extLst>
            <a:ext uri="{FF2B5EF4-FFF2-40B4-BE49-F238E27FC236}">
              <a16:creationId xmlns:a16="http://schemas.microsoft.com/office/drawing/2014/main" id="{00000000-0008-0000-0100-00007C440000}"/>
            </a:ext>
          </a:extLst>
        </xdr:cNvPr>
        <xdr:cNvSpPr>
          <a:spLocks noChangeArrowheads="1"/>
        </xdr:cNvSpPr>
      </xdr:nvSpPr>
      <xdr:spPr bwMode="auto">
        <a:xfrm>
          <a:off x="1952625" y="4048125"/>
          <a:ext cx="936000" cy="255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1276350</xdr:colOff>
      <xdr:row>0</xdr:row>
      <xdr:rowOff>504825</xdr:rowOff>
    </xdr:to>
    <xdr:pic>
      <xdr:nvPicPr>
        <xdr:cNvPr id="17533" name="Imagem 85" descr="cid:image001.jpg@01D2AC8B.331BD7A0">
          <a:extLst>
            <a:ext uri="{FF2B5EF4-FFF2-40B4-BE49-F238E27FC236}">
              <a16:creationId xmlns:a16="http://schemas.microsoft.com/office/drawing/2014/main" id="{00000000-0008-0000-0100-00007D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466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25853</xdr:colOff>
      <xdr:row>109</xdr:row>
      <xdr:rowOff>57151</xdr:rowOff>
    </xdr:from>
    <xdr:to>
      <xdr:col>2</xdr:col>
      <xdr:colOff>1247775</xdr:colOff>
      <xdr:row>116</xdr:row>
      <xdr:rowOff>136072</xdr:rowOff>
    </xdr:to>
    <xdr:sp macro="" textlink="">
      <xdr:nvSpPr>
        <xdr:cNvPr id="86" name="Rectangle 3484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1835603" y="14516101"/>
          <a:ext cx="1221922" cy="5265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1247775</xdr:colOff>
      <xdr:row>17</xdr:row>
      <xdr:rowOff>38100</xdr:rowOff>
    </xdr:from>
    <xdr:to>
      <xdr:col>4</xdr:col>
      <xdr:colOff>21600</xdr:colOff>
      <xdr:row>19</xdr:row>
      <xdr:rowOff>47625</xdr:rowOff>
    </xdr:to>
    <xdr:sp macro="" textlink="">
      <xdr:nvSpPr>
        <xdr:cNvPr id="87" name="Rectangle 3287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3057525" y="3771900"/>
          <a:ext cx="9360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1257300</xdr:colOff>
      <xdr:row>19</xdr:row>
      <xdr:rowOff>123825</xdr:rowOff>
    </xdr:from>
    <xdr:to>
      <xdr:col>4</xdr:col>
      <xdr:colOff>31125</xdr:colOff>
      <xdr:row>23</xdr:row>
      <xdr:rowOff>17475</xdr:rowOff>
    </xdr:to>
    <xdr:sp macro="" textlink="">
      <xdr:nvSpPr>
        <xdr:cNvPr id="88" name="Rectangle 32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rrowheads="1"/>
        </xdr:cNvSpPr>
      </xdr:nvSpPr>
      <xdr:spPr bwMode="auto">
        <a:xfrm>
          <a:off x="3067050" y="4105275"/>
          <a:ext cx="936000" cy="255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pPr marL="0" indent="0"/>
          <a:endParaRPr lang="pt-BR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781050</xdr:colOff>
      <xdr:row>126</xdr:row>
      <xdr:rowOff>152400</xdr:rowOff>
    </xdr:from>
    <xdr:to>
      <xdr:col>6</xdr:col>
      <xdr:colOff>28575</xdr:colOff>
      <xdr:row>129</xdr:row>
      <xdr:rowOff>66675</xdr:rowOff>
    </xdr:to>
    <xdr:sp macro="" textlink="">
      <xdr:nvSpPr>
        <xdr:cNvPr id="89" name="Line 307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ShapeType="1"/>
        </xdr:cNvSpPr>
      </xdr:nvSpPr>
      <xdr:spPr bwMode="auto">
        <a:xfrm>
          <a:off x="5781675" y="16811625"/>
          <a:ext cx="219075" cy="466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123825</xdr:colOff>
      <xdr:row>129</xdr:row>
      <xdr:rowOff>85725</xdr:rowOff>
    </xdr:from>
    <xdr:to>
      <xdr:col>8</xdr:col>
      <xdr:colOff>647925</xdr:colOff>
      <xdr:row>133</xdr:row>
      <xdr:rowOff>152400</xdr:rowOff>
    </xdr:to>
    <xdr:sp macro="" textlink="">
      <xdr:nvSpPr>
        <xdr:cNvPr id="90" name="Rectangle 329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rrowheads="1"/>
        </xdr:cNvSpPr>
      </xdr:nvSpPr>
      <xdr:spPr bwMode="auto">
        <a:xfrm>
          <a:off x="5124450" y="17297400"/>
          <a:ext cx="2772000" cy="742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15</xdr:row>
      <xdr:rowOff>38100</xdr:rowOff>
    </xdr:from>
    <xdr:to>
      <xdr:col>10</xdr:col>
      <xdr:colOff>1133475</xdr:colOff>
      <xdr:row>24</xdr:row>
      <xdr:rowOff>66675</xdr:rowOff>
    </xdr:to>
    <xdr:pic>
      <xdr:nvPicPr>
        <xdr:cNvPr id="5221" name="Imagem 1">
          <a:extLst>
            <a:ext uri="{FF2B5EF4-FFF2-40B4-BE49-F238E27FC236}">
              <a16:creationId xmlns:a16="http://schemas.microsoft.com/office/drawing/2014/main" id="{00000000-0008-0000-0300-00006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971925"/>
          <a:ext cx="22860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28575</xdr:rowOff>
        </xdr:from>
        <xdr:to>
          <xdr:col>1</xdr:col>
          <xdr:colOff>1266825</xdr:colOff>
          <xdr:row>2</xdr:row>
          <xdr:rowOff>428625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2</xdr:row>
          <xdr:rowOff>0</xdr:rowOff>
        </xdr:from>
        <xdr:to>
          <xdr:col>2</xdr:col>
          <xdr:colOff>1028700</xdr:colOff>
          <xdr:row>2</xdr:row>
          <xdr:rowOff>428625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5</xdr:row>
      <xdr:rowOff>266700</xdr:rowOff>
    </xdr:from>
    <xdr:to>
      <xdr:col>8</xdr:col>
      <xdr:colOff>0</xdr:colOff>
      <xdr:row>11</xdr:row>
      <xdr:rowOff>9525</xdr:rowOff>
    </xdr:to>
    <xdr:sp macro="" textlink="">
      <xdr:nvSpPr>
        <xdr:cNvPr id="8545" name="Rectangle 2">
          <a:extLst>
            <a:ext uri="{FF2B5EF4-FFF2-40B4-BE49-F238E27FC236}">
              <a16:creationId xmlns:a16="http://schemas.microsoft.com/office/drawing/2014/main" id="{00000000-0008-0000-0600-000061210000}"/>
            </a:ext>
          </a:extLst>
        </xdr:cNvPr>
        <xdr:cNvSpPr>
          <a:spLocks noChangeArrowheads="1"/>
        </xdr:cNvSpPr>
      </xdr:nvSpPr>
      <xdr:spPr bwMode="auto">
        <a:xfrm>
          <a:off x="6029325" y="1752600"/>
          <a:ext cx="2667000" cy="2028825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152400</xdr:colOff>
      <xdr:row>18</xdr:row>
      <xdr:rowOff>28575</xdr:rowOff>
    </xdr:from>
    <xdr:to>
      <xdr:col>12</xdr:col>
      <xdr:colOff>561975</xdr:colOff>
      <xdr:row>19</xdr:row>
      <xdr:rowOff>152400</xdr:rowOff>
    </xdr:to>
    <xdr:sp macro="" textlink="">
      <xdr:nvSpPr>
        <xdr:cNvPr id="3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1687175" y="5229225"/>
          <a:ext cx="1095375" cy="409575"/>
        </a:xfrm>
        <a:prstGeom prst="rect">
          <a:avLst/>
        </a:prstGeom>
        <a:noFill/>
        <a:ln w="25400">
          <a:solidFill>
            <a:srgbClr val="00008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80" mc:Ignorable="a14" a14:legacySpreadsheetColorIndex="18"/>
              </a:solidFill>
            </a14:hiddenFill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VOLTA</a:t>
          </a:r>
        </a:p>
      </xdr:txBody>
    </xdr:sp>
    <xdr:clientData/>
  </xdr:twoCellAnchor>
  <xdr:twoCellAnchor>
    <xdr:from>
      <xdr:col>4</xdr:col>
      <xdr:colOff>723900</xdr:colOff>
      <xdr:row>9</xdr:row>
      <xdr:rowOff>0</xdr:rowOff>
    </xdr:from>
    <xdr:to>
      <xdr:col>5</xdr:col>
      <xdr:colOff>942975</xdr:colOff>
      <xdr:row>9</xdr:row>
      <xdr:rowOff>0</xdr:rowOff>
    </xdr:to>
    <xdr:sp macro="" textlink="">
      <xdr:nvSpPr>
        <xdr:cNvPr id="8547" name="Line 5">
          <a:extLst>
            <a:ext uri="{FF2B5EF4-FFF2-40B4-BE49-F238E27FC236}">
              <a16:creationId xmlns:a16="http://schemas.microsoft.com/office/drawing/2014/main" id="{00000000-0008-0000-0600-000063210000}"/>
            </a:ext>
          </a:extLst>
        </xdr:cNvPr>
        <xdr:cNvSpPr>
          <a:spLocks noChangeShapeType="1"/>
        </xdr:cNvSpPr>
      </xdr:nvSpPr>
      <xdr:spPr bwMode="auto">
        <a:xfrm>
          <a:off x="3667125" y="2628900"/>
          <a:ext cx="2362200" cy="0"/>
        </a:xfrm>
        <a:prstGeom prst="line">
          <a:avLst/>
        </a:prstGeom>
        <a:noFill/>
        <a:ln w="25400">
          <a:solidFill>
            <a:srgbClr val="FF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20</xdr:row>
      <xdr:rowOff>0</xdr:rowOff>
    </xdr:to>
    <xdr:sp macro="" textlink="">
      <xdr:nvSpPr>
        <xdr:cNvPr id="8548" name="Rectangle 8">
          <a:extLst>
            <a:ext uri="{FF2B5EF4-FFF2-40B4-BE49-F238E27FC236}">
              <a16:creationId xmlns:a16="http://schemas.microsoft.com/office/drawing/2014/main" id="{00000000-0008-0000-0600-000064210000}"/>
            </a:ext>
          </a:extLst>
        </xdr:cNvPr>
        <xdr:cNvSpPr>
          <a:spLocks noChangeArrowheads="1"/>
        </xdr:cNvSpPr>
      </xdr:nvSpPr>
      <xdr:spPr bwMode="auto">
        <a:xfrm>
          <a:off x="685800" y="285750"/>
          <a:ext cx="12220575" cy="5486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45</xdr:row>
      <xdr:rowOff>57150</xdr:rowOff>
    </xdr:from>
    <xdr:to>
      <xdr:col>8</xdr:col>
      <xdr:colOff>819150</xdr:colOff>
      <xdr:row>47</xdr:row>
      <xdr:rowOff>133350</xdr:rowOff>
    </xdr:to>
    <xdr:sp macro="" textlink="">
      <xdr:nvSpPr>
        <xdr:cNvPr id="2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39150" y="7600950"/>
          <a:ext cx="1095375" cy="409575"/>
        </a:xfrm>
        <a:prstGeom prst="rect">
          <a:avLst/>
        </a:prstGeom>
        <a:noFill/>
        <a:ln w="25400">
          <a:solidFill>
            <a:srgbClr val="00008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80" mc:Ignorable="a14" a14:legacySpreadsheetColorIndex="18"/>
              </a:solidFill>
            </a14:hiddenFill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VOLTA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9482" name="Rectangle 7">
          <a:extLst>
            <a:ext uri="{FF2B5EF4-FFF2-40B4-BE49-F238E27FC236}">
              <a16:creationId xmlns:a16="http://schemas.microsoft.com/office/drawing/2014/main" id="{00000000-0008-0000-0800-00000A250000}"/>
            </a:ext>
          </a:extLst>
        </xdr:cNvPr>
        <xdr:cNvSpPr>
          <a:spLocks noChangeArrowheads="1"/>
        </xdr:cNvSpPr>
      </xdr:nvSpPr>
      <xdr:spPr bwMode="auto">
        <a:xfrm>
          <a:off x="2114550" y="171450"/>
          <a:ext cx="660082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9483" name="Rectangle 8">
          <a:extLst>
            <a:ext uri="{FF2B5EF4-FFF2-40B4-BE49-F238E27FC236}">
              <a16:creationId xmlns:a16="http://schemas.microsoft.com/office/drawing/2014/main" id="{00000000-0008-0000-0800-00000B250000}"/>
            </a:ext>
          </a:extLst>
        </xdr:cNvPr>
        <xdr:cNvSpPr>
          <a:spLocks noChangeArrowheads="1"/>
        </xdr:cNvSpPr>
      </xdr:nvSpPr>
      <xdr:spPr bwMode="auto">
        <a:xfrm>
          <a:off x="1057275" y="171450"/>
          <a:ext cx="8715375" cy="8039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10043\Documents\ANEXO%20NT%2031%20002%20-%20Dimensionamento%20SE%20A&#233;re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lculo"/>
      <sheetName val="CONFIGURAÇÕES"/>
      <sheetName val="GERAL"/>
      <sheetName val="TAB 02"/>
      <sheetName val="TAB 03"/>
      <sheetName val="TAB 04"/>
      <sheetName val="TAB 20 "/>
      <sheetName val="Para Raios"/>
      <sheetName val="TAB 26"/>
      <sheetName val="Pararraios"/>
      <sheetName val="TAPs Primário"/>
      <sheetName val="AJUDA"/>
    </sheetNames>
    <sheetDataSet>
      <sheetData sheetId="0"/>
      <sheetData sheetId="1"/>
      <sheetData sheetId="2"/>
      <sheetData sheetId="3"/>
      <sheetData sheetId="4">
        <row r="15">
          <cell r="P15">
            <v>30</v>
          </cell>
          <cell r="Q15" t="str">
            <v>220/127</v>
          </cell>
          <cell r="R15">
            <v>87</v>
          </cell>
          <cell r="S15">
            <v>0</v>
          </cell>
          <cell r="T15">
            <v>80</v>
          </cell>
          <cell r="U15">
            <v>0</v>
          </cell>
          <cell r="V15" t="str">
            <v>3#25 (25)</v>
          </cell>
          <cell r="W15">
            <v>0</v>
          </cell>
          <cell r="X15" t="str">
            <v>40 (1 1/2")</v>
          </cell>
          <cell r="Y15">
            <v>0</v>
          </cell>
          <cell r="Z15">
            <v>25</v>
          </cell>
          <cell r="AA15">
            <v>0</v>
          </cell>
          <cell r="AB15">
            <v>2</v>
          </cell>
        </row>
        <row r="16">
          <cell r="A16" t="str">
            <v>Até 15</v>
          </cell>
          <cell r="B16" t="str">
            <v>380/220</v>
          </cell>
          <cell r="C16">
            <v>25</v>
          </cell>
          <cell r="D16">
            <v>0</v>
          </cell>
          <cell r="E16">
            <v>25</v>
          </cell>
          <cell r="F16">
            <v>0</v>
          </cell>
          <cell r="G16" t="str">
            <v>3#6 (6)</v>
          </cell>
          <cell r="H16">
            <v>0</v>
          </cell>
          <cell r="I16" t="str">
            <v>20 (3/4")</v>
          </cell>
          <cell r="J16">
            <v>0</v>
          </cell>
          <cell r="K16">
            <v>25</v>
          </cell>
          <cell r="L16">
            <v>2</v>
          </cell>
          <cell r="M16">
            <v>0</v>
          </cell>
          <cell r="P16">
            <v>45</v>
          </cell>
          <cell r="Q16">
            <v>0</v>
          </cell>
          <cell r="R16">
            <v>129</v>
          </cell>
          <cell r="S16">
            <v>0</v>
          </cell>
          <cell r="T16">
            <v>125</v>
          </cell>
          <cell r="U16">
            <v>0</v>
          </cell>
          <cell r="V16" t="str">
            <v>3#35 (25)</v>
          </cell>
          <cell r="W16">
            <v>0</v>
          </cell>
          <cell r="X16" t="str">
            <v>40 (1 1/2")</v>
          </cell>
          <cell r="Y16">
            <v>0</v>
          </cell>
          <cell r="Z16">
            <v>25</v>
          </cell>
          <cell r="AA16">
            <v>0</v>
          </cell>
          <cell r="AB16">
            <v>2</v>
          </cell>
        </row>
        <row r="17">
          <cell r="A17">
            <v>30</v>
          </cell>
          <cell r="B17">
            <v>0</v>
          </cell>
          <cell r="C17">
            <v>50</v>
          </cell>
          <cell r="D17">
            <v>0</v>
          </cell>
          <cell r="E17">
            <v>50</v>
          </cell>
          <cell r="F17">
            <v>0</v>
          </cell>
          <cell r="G17" t="str">
            <v>3#10 (10)</v>
          </cell>
          <cell r="H17">
            <v>0</v>
          </cell>
          <cell r="I17" t="str">
            <v>25 (1")</v>
          </cell>
          <cell r="J17">
            <v>0</v>
          </cell>
          <cell r="K17">
            <v>25</v>
          </cell>
          <cell r="L17">
            <v>2</v>
          </cell>
          <cell r="M17">
            <v>0</v>
          </cell>
          <cell r="P17">
            <v>75</v>
          </cell>
          <cell r="Q17">
            <v>0</v>
          </cell>
          <cell r="R17">
            <v>216</v>
          </cell>
          <cell r="S17">
            <v>0</v>
          </cell>
          <cell r="T17">
            <v>200</v>
          </cell>
          <cell r="U17">
            <v>0</v>
          </cell>
          <cell r="V17" t="str">
            <v>3#70 (35)</v>
          </cell>
          <cell r="W17">
            <v>0</v>
          </cell>
          <cell r="X17" t="str">
            <v>65 (2 1/2")</v>
          </cell>
          <cell r="Y17">
            <v>0</v>
          </cell>
          <cell r="Z17">
            <v>50</v>
          </cell>
          <cell r="AA17">
            <v>0</v>
          </cell>
          <cell r="AB17" t="str">
            <v>1/0</v>
          </cell>
        </row>
        <row r="18">
          <cell r="A18">
            <v>45</v>
          </cell>
          <cell r="B18">
            <v>0</v>
          </cell>
          <cell r="C18">
            <v>75</v>
          </cell>
          <cell r="D18">
            <v>0</v>
          </cell>
          <cell r="E18">
            <v>70</v>
          </cell>
          <cell r="F18">
            <v>0</v>
          </cell>
          <cell r="G18" t="str">
            <v>3#16 (16)</v>
          </cell>
          <cell r="H18">
            <v>0</v>
          </cell>
          <cell r="I18" t="str">
            <v>32 (1 1/4")</v>
          </cell>
          <cell r="J18">
            <v>0</v>
          </cell>
          <cell r="K18">
            <v>25</v>
          </cell>
          <cell r="L18">
            <v>2</v>
          </cell>
          <cell r="M18">
            <v>0</v>
          </cell>
          <cell r="P18">
            <v>112.5</v>
          </cell>
          <cell r="Q18">
            <v>0</v>
          </cell>
          <cell r="R18">
            <v>325</v>
          </cell>
          <cell r="S18">
            <v>0</v>
          </cell>
          <cell r="T18">
            <v>300</v>
          </cell>
          <cell r="U18">
            <v>0</v>
          </cell>
          <cell r="V18" t="str">
            <v>3#150 (70)</v>
          </cell>
          <cell r="W18">
            <v>0</v>
          </cell>
          <cell r="X18" t="str">
            <v>80 (3")</v>
          </cell>
          <cell r="Y18">
            <v>0</v>
          </cell>
          <cell r="Z18">
            <v>50</v>
          </cell>
          <cell r="AA18">
            <v>0</v>
          </cell>
          <cell r="AB18" t="str">
            <v>1/0</v>
          </cell>
        </row>
        <row r="19">
          <cell r="A19">
            <v>75</v>
          </cell>
          <cell r="B19">
            <v>0</v>
          </cell>
          <cell r="C19">
            <v>125</v>
          </cell>
          <cell r="D19">
            <v>0</v>
          </cell>
          <cell r="E19">
            <v>125</v>
          </cell>
          <cell r="F19">
            <v>0</v>
          </cell>
          <cell r="G19" t="str">
            <v>3#35 (25)</v>
          </cell>
          <cell r="H19">
            <v>0</v>
          </cell>
          <cell r="I19" t="str">
            <v>32 (1 1/4")</v>
          </cell>
          <cell r="J19">
            <v>0</v>
          </cell>
          <cell r="K19">
            <v>25</v>
          </cell>
          <cell r="L19">
            <v>2</v>
          </cell>
          <cell r="M19">
            <v>0</v>
          </cell>
          <cell r="P19">
            <v>150</v>
          </cell>
          <cell r="Q19">
            <v>0</v>
          </cell>
          <cell r="R19">
            <v>433</v>
          </cell>
          <cell r="S19">
            <v>0</v>
          </cell>
          <cell r="T19">
            <v>400</v>
          </cell>
          <cell r="U19">
            <v>0</v>
          </cell>
          <cell r="V19" t="str">
            <v>2x3#70 (70)</v>
          </cell>
          <cell r="W19">
            <v>0</v>
          </cell>
          <cell r="X19" t="str">
            <v>100 (4")</v>
          </cell>
          <cell r="Y19">
            <v>0</v>
          </cell>
          <cell r="Z19">
            <v>50</v>
          </cell>
          <cell r="AA19">
            <v>0</v>
          </cell>
          <cell r="AB19" t="str">
            <v>1/0</v>
          </cell>
        </row>
        <row r="20">
          <cell r="A20">
            <v>112.5</v>
          </cell>
          <cell r="B20">
            <v>0</v>
          </cell>
          <cell r="C20">
            <v>188</v>
          </cell>
          <cell r="D20">
            <v>0</v>
          </cell>
          <cell r="E20">
            <v>175</v>
          </cell>
          <cell r="F20">
            <v>0</v>
          </cell>
          <cell r="G20" t="str">
            <v>3#70 (35)</v>
          </cell>
          <cell r="H20">
            <v>0</v>
          </cell>
          <cell r="I20" t="str">
            <v>50 (2")</v>
          </cell>
          <cell r="J20">
            <v>0</v>
          </cell>
          <cell r="K20">
            <v>25</v>
          </cell>
          <cell r="L20">
            <v>2</v>
          </cell>
          <cell r="M20">
            <v>0</v>
          </cell>
          <cell r="P20">
            <v>225</v>
          </cell>
          <cell r="Q20">
            <v>0</v>
          </cell>
          <cell r="R20">
            <v>656</v>
          </cell>
          <cell r="S20">
            <v>0</v>
          </cell>
          <cell r="T20">
            <v>600</v>
          </cell>
          <cell r="U20">
            <v>0</v>
          </cell>
          <cell r="V20" t="str">
            <v>2x3#150 (150)</v>
          </cell>
          <cell r="W20">
            <v>0</v>
          </cell>
          <cell r="X20" t="str">
            <v>100 (4")</v>
          </cell>
          <cell r="Y20">
            <v>0</v>
          </cell>
          <cell r="Z20">
            <v>50</v>
          </cell>
          <cell r="AA20">
            <v>0</v>
          </cell>
          <cell r="AB20" t="str">
            <v>1/0</v>
          </cell>
        </row>
        <row r="21">
          <cell r="A21">
            <v>150</v>
          </cell>
          <cell r="B21">
            <v>0</v>
          </cell>
          <cell r="C21">
            <v>250</v>
          </cell>
          <cell r="D21">
            <v>0</v>
          </cell>
          <cell r="E21">
            <v>250</v>
          </cell>
          <cell r="F21">
            <v>0</v>
          </cell>
          <cell r="G21" t="str">
            <v>3#95 (50)</v>
          </cell>
          <cell r="H21">
            <v>0</v>
          </cell>
          <cell r="I21" t="str">
            <v>65 (2 1/2")</v>
          </cell>
          <cell r="J21">
            <v>0</v>
          </cell>
          <cell r="K21">
            <v>50</v>
          </cell>
          <cell r="L21" t="str">
            <v>1/0</v>
          </cell>
          <cell r="M21">
            <v>0</v>
          </cell>
          <cell r="P21">
            <v>300</v>
          </cell>
          <cell r="Q21">
            <v>0</v>
          </cell>
          <cell r="R21">
            <v>874</v>
          </cell>
          <cell r="S21">
            <v>0</v>
          </cell>
          <cell r="T21">
            <v>800</v>
          </cell>
          <cell r="U21">
            <v>0</v>
          </cell>
          <cell r="V21" t="str">
            <v>3x3#120 (3#95)</v>
          </cell>
          <cell r="W21">
            <v>0</v>
          </cell>
          <cell r="X21" t="str">
            <v>3x80 (3")</v>
          </cell>
          <cell r="Y21">
            <v>0</v>
          </cell>
          <cell r="Z21">
            <v>50</v>
          </cell>
          <cell r="AA21">
            <v>0</v>
          </cell>
          <cell r="AB21" t="str">
            <v>1/0</v>
          </cell>
        </row>
        <row r="22">
          <cell r="A22">
            <v>225</v>
          </cell>
          <cell r="B22">
            <v>0</v>
          </cell>
          <cell r="C22">
            <v>376</v>
          </cell>
          <cell r="D22">
            <v>0</v>
          </cell>
          <cell r="E22">
            <v>350</v>
          </cell>
          <cell r="F22">
            <v>0</v>
          </cell>
          <cell r="G22" t="str">
            <v>3#185 (95)</v>
          </cell>
          <cell r="H22">
            <v>0</v>
          </cell>
          <cell r="I22" t="str">
            <v>80 (3")</v>
          </cell>
          <cell r="J22">
            <v>0</v>
          </cell>
          <cell r="K22">
            <v>50</v>
          </cell>
          <cell r="L22" t="str">
            <v>1/0</v>
          </cell>
          <cell r="M22">
            <v>0</v>
          </cell>
        </row>
        <row r="23">
          <cell r="A23">
            <v>300</v>
          </cell>
          <cell r="B23">
            <v>0</v>
          </cell>
          <cell r="C23">
            <v>501</v>
          </cell>
          <cell r="D23">
            <v>0</v>
          </cell>
          <cell r="E23">
            <v>500</v>
          </cell>
          <cell r="F23">
            <v>0</v>
          </cell>
          <cell r="G23" t="str">
            <v>2x3#95 (95)</v>
          </cell>
          <cell r="H23">
            <v>0</v>
          </cell>
          <cell r="I23" t="str">
            <v>100 (4")</v>
          </cell>
          <cell r="J23">
            <v>0</v>
          </cell>
          <cell r="K23">
            <v>50</v>
          </cell>
          <cell r="L23" t="str">
            <v>1/0</v>
          </cell>
          <cell r="M2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2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1.wmf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rgb="FF002060"/>
    <pageSetUpPr fitToPage="1"/>
  </sheetPr>
  <dimension ref="A1:XFC76"/>
  <sheetViews>
    <sheetView zoomScaleNormal="100" zoomScaleSheetLayoutView="100" workbookViewId="0">
      <selection activeCell="E9" sqref="E9"/>
    </sheetView>
  </sheetViews>
  <sheetFormatPr defaultColWidth="0" defaultRowHeight="15" zeroHeight="1"/>
  <cols>
    <col min="1" max="1" width="0.28515625" customWidth="1"/>
    <col min="2" max="2" width="6.140625" style="294" customWidth="1"/>
    <col min="3" max="3" width="20.140625" customWidth="1"/>
    <col min="4" max="4" width="6" customWidth="1"/>
    <col min="5" max="5" width="9" customWidth="1"/>
    <col min="6" max="6" width="9.140625" customWidth="1"/>
    <col min="7" max="7" width="5.140625" customWidth="1"/>
    <col min="8" max="8" width="9.5703125" customWidth="1"/>
    <col min="9" max="9" width="5.42578125" customWidth="1"/>
    <col min="10" max="10" width="9.5703125" customWidth="1"/>
    <col min="11" max="11" width="10.5703125" style="295" customWidth="1"/>
    <col min="12" max="12" width="2.42578125" hidden="1" customWidth="1"/>
    <col min="13" max="16383" width="9.140625" hidden="1"/>
    <col min="16384" max="16384" width="0.140625" customWidth="1"/>
  </cols>
  <sheetData>
    <row r="1" spans="1:12" ht="1.5" customHeight="1" thickBot="1">
      <c r="A1" s="293"/>
      <c r="B1" s="306"/>
      <c r="C1" s="307"/>
      <c r="D1" s="307"/>
      <c r="E1" s="307"/>
      <c r="F1" s="307"/>
      <c r="G1" s="307"/>
      <c r="H1" s="307"/>
      <c r="I1" s="307"/>
      <c r="J1" s="307"/>
      <c r="K1" s="308"/>
    </row>
    <row r="2" spans="1:12">
      <c r="A2" s="294"/>
      <c r="B2" s="341" t="s">
        <v>0</v>
      </c>
      <c r="C2" s="342"/>
      <c r="D2" s="342"/>
      <c r="E2" s="342"/>
      <c r="F2" s="342"/>
      <c r="G2" s="342"/>
      <c r="H2" s="342"/>
      <c r="I2" s="342"/>
      <c r="J2" s="342"/>
      <c r="K2" s="343"/>
    </row>
    <row r="3" spans="1:12" ht="20.100000000000001" customHeight="1">
      <c r="A3" s="294"/>
      <c r="B3" s="350" t="s">
        <v>1</v>
      </c>
      <c r="C3" s="351"/>
      <c r="D3" s="351"/>
      <c r="E3" s="351"/>
      <c r="F3" s="351"/>
      <c r="G3" s="351"/>
      <c r="H3" s="351"/>
      <c r="I3" s="351"/>
      <c r="J3" s="23"/>
      <c r="K3" s="309"/>
    </row>
    <row r="4" spans="1:12" s="304" customFormat="1" ht="38.25">
      <c r="A4" s="302"/>
      <c r="B4" s="310" t="s">
        <v>2</v>
      </c>
      <c r="C4" s="305" t="s">
        <v>3</v>
      </c>
      <c r="D4" s="305" t="s">
        <v>4</v>
      </c>
      <c r="E4" s="305" t="s">
        <v>5</v>
      </c>
      <c r="F4" s="305" t="s">
        <v>6</v>
      </c>
      <c r="G4" s="305" t="s">
        <v>7</v>
      </c>
      <c r="H4" s="305" t="s">
        <v>8</v>
      </c>
      <c r="I4" s="305" t="s">
        <v>9</v>
      </c>
      <c r="J4" s="305" t="s">
        <v>10</v>
      </c>
      <c r="K4" s="311" t="s">
        <v>11</v>
      </c>
      <c r="L4" s="303"/>
    </row>
    <row r="5" spans="1:12">
      <c r="A5" s="294"/>
      <c r="B5" s="312">
        <v>1</v>
      </c>
      <c r="C5" s="7"/>
      <c r="D5" s="7"/>
      <c r="E5" s="7"/>
      <c r="F5" s="298" t="str">
        <f>IF(E5="","",D5*E5)</f>
        <v/>
      </c>
      <c r="G5" s="7"/>
      <c r="H5" s="300" t="str">
        <f>IF(G5="","",F5/G5)</f>
        <v/>
      </c>
      <c r="I5" s="7"/>
      <c r="J5" s="300" t="str">
        <f>IF(I5="","",F5*I5)</f>
        <v/>
      </c>
      <c r="K5" s="313" t="str">
        <f>IF(I5="","",H5*I5)</f>
        <v/>
      </c>
      <c r="L5" s="9"/>
    </row>
    <row r="6" spans="1:12">
      <c r="A6" s="294"/>
      <c r="B6" s="312">
        <v>2</v>
      </c>
      <c r="C6" s="7"/>
      <c r="D6" s="7"/>
      <c r="E6" s="7"/>
      <c r="F6" s="298" t="str">
        <f t="shared" ref="F6:F54" si="0">IF(E6="","",D6*E6)</f>
        <v/>
      </c>
      <c r="G6" s="7"/>
      <c r="H6" s="300" t="str">
        <f t="shared" ref="H6:H54" si="1">IF(G6="","",F6/G6)</f>
        <v/>
      </c>
      <c r="I6" s="7"/>
      <c r="J6" s="300" t="str">
        <f t="shared" ref="J6:J54" si="2">IF(I6="","",F6*I6)</f>
        <v/>
      </c>
      <c r="K6" s="313" t="str">
        <f t="shared" ref="K6:K31" si="3">IF(I6="","",H6*I6)</f>
        <v/>
      </c>
      <c r="L6" s="9"/>
    </row>
    <row r="7" spans="1:12">
      <c r="A7" s="294"/>
      <c r="B7" s="312">
        <v>3</v>
      </c>
      <c r="C7" s="7"/>
      <c r="D7" s="7"/>
      <c r="E7" s="7"/>
      <c r="F7" s="298" t="str">
        <f t="shared" si="0"/>
        <v/>
      </c>
      <c r="G7" s="7"/>
      <c r="H7" s="300" t="str">
        <f t="shared" si="1"/>
        <v/>
      </c>
      <c r="I7" s="7"/>
      <c r="J7" s="300" t="str">
        <f t="shared" si="2"/>
        <v/>
      </c>
      <c r="K7" s="313" t="str">
        <f t="shared" si="3"/>
        <v/>
      </c>
      <c r="L7" s="9"/>
    </row>
    <row r="8" spans="1:12">
      <c r="A8" s="294"/>
      <c r="B8" s="312">
        <v>4</v>
      </c>
      <c r="C8" s="7"/>
      <c r="D8" s="7"/>
      <c r="E8" s="7"/>
      <c r="F8" s="298" t="str">
        <f t="shared" si="0"/>
        <v/>
      </c>
      <c r="G8" s="7"/>
      <c r="H8" s="300" t="str">
        <f t="shared" si="1"/>
        <v/>
      </c>
      <c r="I8" s="7"/>
      <c r="J8" s="300" t="str">
        <f t="shared" si="2"/>
        <v/>
      </c>
      <c r="K8" s="313" t="str">
        <f t="shared" si="3"/>
        <v/>
      </c>
      <c r="L8" s="9"/>
    </row>
    <row r="9" spans="1:12">
      <c r="A9" s="294"/>
      <c r="B9" s="312">
        <v>5</v>
      </c>
      <c r="C9" s="7"/>
      <c r="D9" s="7"/>
      <c r="E9" s="7"/>
      <c r="F9" s="298" t="str">
        <f t="shared" si="0"/>
        <v/>
      </c>
      <c r="G9" s="7"/>
      <c r="H9" s="300" t="str">
        <f t="shared" si="1"/>
        <v/>
      </c>
      <c r="I9" s="7"/>
      <c r="J9" s="300" t="str">
        <f t="shared" si="2"/>
        <v/>
      </c>
      <c r="K9" s="313" t="str">
        <f t="shared" si="3"/>
        <v/>
      </c>
      <c r="L9" s="9"/>
    </row>
    <row r="10" spans="1:12">
      <c r="A10" s="294"/>
      <c r="B10" s="312">
        <v>6</v>
      </c>
      <c r="C10" s="7"/>
      <c r="D10" s="7"/>
      <c r="E10" s="7"/>
      <c r="F10" s="298" t="str">
        <f t="shared" si="0"/>
        <v/>
      </c>
      <c r="G10" s="7"/>
      <c r="H10" s="300" t="str">
        <f t="shared" si="1"/>
        <v/>
      </c>
      <c r="I10" s="7"/>
      <c r="J10" s="300" t="str">
        <f t="shared" si="2"/>
        <v/>
      </c>
      <c r="K10" s="313" t="str">
        <f t="shared" si="3"/>
        <v/>
      </c>
      <c r="L10" s="9"/>
    </row>
    <row r="11" spans="1:12">
      <c r="A11" s="294"/>
      <c r="B11" s="312">
        <v>7</v>
      </c>
      <c r="C11" s="7"/>
      <c r="D11" s="7"/>
      <c r="E11" s="7"/>
      <c r="F11" s="298" t="str">
        <f t="shared" si="0"/>
        <v/>
      </c>
      <c r="G11" s="7"/>
      <c r="H11" s="300" t="str">
        <f t="shared" si="1"/>
        <v/>
      </c>
      <c r="I11" s="7"/>
      <c r="J11" s="300" t="str">
        <f t="shared" si="2"/>
        <v/>
      </c>
      <c r="K11" s="313" t="str">
        <f t="shared" si="3"/>
        <v/>
      </c>
      <c r="L11" s="9"/>
    </row>
    <row r="12" spans="1:12">
      <c r="A12" s="294"/>
      <c r="B12" s="312">
        <v>8</v>
      </c>
      <c r="C12" s="7"/>
      <c r="D12" s="7"/>
      <c r="E12" s="7"/>
      <c r="F12" s="298" t="str">
        <f t="shared" si="0"/>
        <v/>
      </c>
      <c r="G12" s="7"/>
      <c r="H12" s="300" t="str">
        <f t="shared" si="1"/>
        <v/>
      </c>
      <c r="I12" s="7"/>
      <c r="J12" s="300" t="str">
        <f t="shared" si="2"/>
        <v/>
      </c>
      <c r="K12" s="313" t="str">
        <f t="shared" si="3"/>
        <v/>
      </c>
      <c r="L12" s="9"/>
    </row>
    <row r="13" spans="1:12">
      <c r="A13" s="294"/>
      <c r="B13" s="312">
        <v>9</v>
      </c>
      <c r="C13" s="7"/>
      <c r="D13" s="7"/>
      <c r="E13" s="7"/>
      <c r="F13" s="298" t="str">
        <f t="shared" si="0"/>
        <v/>
      </c>
      <c r="G13" s="7"/>
      <c r="H13" s="300" t="str">
        <f t="shared" si="1"/>
        <v/>
      </c>
      <c r="I13" s="7"/>
      <c r="J13" s="300" t="str">
        <f t="shared" si="2"/>
        <v/>
      </c>
      <c r="K13" s="313" t="str">
        <f t="shared" si="3"/>
        <v/>
      </c>
      <c r="L13" s="9"/>
    </row>
    <row r="14" spans="1:12">
      <c r="A14" s="294"/>
      <c r="B14" s="312">
        <v>10</v>
      </c>
      <c r="C14" s="7"/>
      <c r="D14" s="7"/>
      <c r="E14" s="7"/>
      <c r="F14" s="298" t="str">
        <f t="shared" si="0"/>
        <v/>
      </c>
      <c r="G14" s="7"/>
      <c r="H14" s="300" t="str">
        <f t="shared" si="1"/>
        <v/>
      </c>
      <c r="I14" s="7"/>
      <c r="J14" s="300" t="str">
        <f t="shared" si="2"/>
        <v/>
      </c>
      <c r="K14" s="313" t="str">
        <f t="shared" si="3"/>
        <v/>
      </c>
      <c r="L14" s="9"/>
    </row>
    <row r="15" spans="1:12">
      <c r="A15" s="294"/>
      <c r="B15" s="312">
        <v>11</v>
      </c>
      <c r="C15" s="7"/>
      <c r="D15" s="7"/>
      <c r="E15" s="7"/>
      <c r="F15" s="298" t="str">
        <f t="shared" si="0"/>
        <v/>
      </c>
      <c r="G15" s="7"/>
      <c r="H15" s="300" t="str">
        <f t="shared" si="1"/>
        <v/>
      </c>
      <c r="I15" s="7"/>
      <c r="J15" s="300" t="str">
        <f t="shared" si="2"/>
        <v/>
      </c>
      <c r="K15" s="313" t="str">
        <f t="shared" si="3"/>
        <v/>
      </c>
      <c r="L15" s="9"/>
    </row>
    <row r="16" spans="1:12">
      <c r="A16" s="294"/>
      <c r="B16" s="312">
        <v>12</v>
      </c>
      <c r="C16" s="7"/>
      <c r="D16" s="7"/>
      <c r="E16" s="7"/>
      <c r="F16" s="298" t="str">
        <f t="shared" si="0"/>
        <v/>
      </c>
      <c r="G16" s="7"/>
      <c r="H16" s="300" t="str">
        <f t="shared" si="1"/>
        <v/>
      </c>
      <c r="I16" s="7"/>
      <c r="J16" s="300" t="str">
        <f t="shared" si="2"/>
        <v/>
      </c>
      <c r="K16" s="313" t="str">
        <f t="shared" si="3"/>
        <v/>
      </c>
      <c r="L16" s="9"/>
    </row>
    <row r="17" spans="1:12">
      <c r="A17" s="294"/>
      <c r="B17" s="312">
        <v>13</v>
      </c>
      <c r="C17" s="7"/>
      <c r="D17" s="7"/>
      <c r="E17" s="7"/>
      <c r="F17" s="298" t="str">
        <f t="shared" si="0"/>
        <v/>
      </c>
      <c r="G17" s="7"/>
      <c r="H17" s="300" t="str">
        <f t="shared" si="1"/>
        <v/>
      </c>
      <c r="I17" s="7"/>
      <c r="J17" s="300" t="str">
        <f t="shared" si="2"/>
        <v/>
      </c>
      <c r="K17" s="313" t="str">
        <f t="shared" si="3"/>
        <v/>
      </c>
      <c r="L17" s="9"/>
    </row>
    <row r="18" spans="1:12">
      <c r="A18" s="294"/>
      <c r="B18" s="312">
        <v>14</v>
      </c>
      <c r="C18" s="7"/>
      <c r="D18" s="7"/>
      <c r="E18" s="7"/>
      <c r="F18" s="298" t="str">
        <f t="shared" si="0"/>
        <v/>
      </c>
      <c r="G18" s="7"/>
      <c r="H18" s="300" t="str">
        <f t="shared" si="1"/>
        <v/>
      </c>
      <c r="I18" s="7"/>
      <c r="J18" s="300" t="str">
        <f t="shared" si="2"/>
        <v/>
      </c>
      <c r="K18" s="313" t="str">
        <f t="shared" si="3"/>
        <v/>
      </c>
      <c r="L18" s="9"/>
    </row>
    <row r="19" spans="1:12">
      <c r="A19" s="294"/>
      <c r="B19" s="312">
        <v>15</v>
      </c>
      <c r="C19" s="7"/>
      <c r="D19" s="7"/>
      <c r="E19" s="7"/>
      <c r="F19" s="298" t="str">
        <f t="shared" si="0"/>
        <v/>
      </c>
      <c r="G19" s="7"/>
      <c r="H19" s="300" t="str">
        <f t="shared" si="1"/>
        <v/>
      </c>
      <c r="I19" s="7"/>
      <c r="J19" s="300" t="str">
        <f t="shared" si="2"/>
        <v/>
      </c>
      <c r="K19" s="313" t="str">
        <f t="shared" si="3"/>
        <v/>
      </c>
      <c r="L19" s="9"/>
    </row>
    <row r="20" spans="1:12">
      <c r="A20" s="294"/>
      <c r="B20" s="312">
        <v>16</v>
      </c>
      <c r="C20" s="7"/>
      <c r="D20" s="7"/>
      <c r="E20" s="7"/>
      <c r="F20" s="298" t="str">
        <f t="shared" si="0"/>
        <v/>
      </c>
      <c r="G20" s="7"/>
      <c r="H20" s="300" t="str">
        <f t="shared" si="1"/>
        <v/>
      </c>
      <c r="I20" s="7"/>
      <c r="J20" s="300" t="str">
        <f t="shared" si="2"/>
        <v/>
      </c>
      <c r="K20" s="313" t="str">
        <f t="shared" si="3"/>
        <v/>
      </c>
      <c r="L20" s="9"/>
    </row>
    <row r="21" spans="1:12">
      <c r="A21" s="294"/>
      <c r="B21" s="312">
        <v>17</v>
      </c>
      <c r="C21" s="7"/>
      <c r="D21" s="7"/>
      <c r="E21" s="7"/>
      <c r="F21" s="298" t="str">
        <f t="shared" si="0"/>
        <v/>
      </c>
      <c r="G21" s="7"/>
      <c r="H21" s="300" t="str">
        <f t="shared" si="1"/>
        <v/>
      </c>
      <c r="I21" s="7"/>
      <c r="J21" s="300" t="str">
        <f t="shared" si="2"/>
        <v/>
      </c>
      <c r="K21" s="313" t="str">
        <f t="shared" si="3"/>
        <v/>
      </c>
      <c r="L21" s="9"/>
    </row>
    <row r="22" spans="1:12">
      <c r="A22" s="294"/>
      <c r="B22" s="312">
        <v>18</v>
      </c>
      <c r="C22" s="7"/>
      <c r="D22" s="7"/>
      <c r="E22" s="7"/>
      <c r="F22" s="298" t="str">
        <f t="shared" si="0"/>
        <v/>
      </c>
      <c r="G22" s="7"/>
      <c r="H22" s="300" t="str">
        <f t="shared" si="1"/>
        <v/>
      </c>
      <c r="I22" s="7"/>
      <c r="J22" s="300" t="str">
        <f t="shared" si="2"/>
        <v/>
      </c>
      <c r="K22" s="313" t="str">
        <f t="shared" si="3"/>
        <v/>
      </c>
      <c r="L22" s="9"/>
    </row>
    <row r="23" spans="1:12">
      <c r="A23" s="294"/>
      <c r="B23" s="312">
        <v>19</v>
      </c>
      <c r="C23" s="7"/>
      <c r="D23" s="7"/>
      <c r="E23" s="7"/>
      <c r="F23" s="298" t="str">
        <f t="shared" si="0"/>
        <v/>
      </c>
      <c r="G23" s="7"/>
      <c r="H23" s="300" t="str">
        <f t="shared" si="1"/>
        <v/>
      </c>
      <c r="I23" s="7"/>
      <c r="J23" s="300" t="str">
        <f t="shared" si="2"/>
        <v/>
      </c>
      <c r="K23" s="313" t="str">
        <f t="shared" si="3"/>
        <v/>
      </c>
      <c r="L23" s="9"/>
    </row>
    <row r="24" spans="1:12">
      <c r="A24" s="294"/>
      <c r="B24" s="312">
        <v>20</v>
      </c>
      <c r="C24" s="7"/>
      <c r="D24" s="7"/>
      <c r="E24" s="7"/>
      <c r="F24" s="298" t="str">
        <f t="shared" si="0"/>
        <v/>
      </c>
      <c r="G24" s="7"/>
      <c r="H24" s="300" t="str">
        <f t="shared" si="1"/>
        <v/>
      </c>
      <c r="I24" s="7"/>
      <c r="J24" s="300" t="str">
        <f t="shared" si="2"/>
        <v/>
      </c>
      <c r="K24" s="313" t="str">
        <f t="shared" si="3"/>
        <v/>
      </c>
      <c r="L24" s="9"/>
    </row>
    <row r="25" spans="1:12">
      <c r="A25" s="294"/>
      <c r="B25" s="312">
        <v>21</v>
      </c>
      <c r="C25" s="7"/>
      <c r="D25" s="7"/>
      <c r="E25" s="7"/>
      <c r="F25" s="298" t="str">
        <f t="shared" si="0"/>
        <v/>
      </c>
      <c r="G25" s="7"/>
      <c r="H25" s="300" t="str">
        <f t="shared" si="1"/>
        <v/>
      </c>
      <c r="I25" s="7"/>
      <c r="J25" s="300" t="str">
        <f t="shared" si="2"/>
        <v/>
      </c>
      <c r="K25" s="313" t="str">
        <f t="shared" si="3"/>
        <v/>
      </c>
      <c r="L25" s="9"/>
    </row>
    <row r="26" spans="1:12">
      <c r="A26" s="294"/>
      <c r="B26" s="312">
        <v>22</v>
      </c>
      <c r="C26" s="7"/>
      <c r="D26" s="7"/>
      <c r="E26" s="7"/>
      <c r="F26" s="298" t="str">
        <f t="shared" si="0"/>
        <v/>
      </c>
      <c r="G26" s="7"/>
      <c r="H26" s="300" t="str">
        <f t="shared" si="1"/>
        <v/>
      </c>
      <c r="I26" s="7"/>
      <c r="J26" s="300" t="str">
        <f t="shared" si="2"/>
        <v/>
      </c>
      <c r="K26" s="313" t="str">
        <f t="shared" si="3"/>
        <v/>
      </c>
      <c r="L26" s="9"/>
    </row>
    <row r="27" spans="1:12">
      <c r="A27" s="294"/>
      <c r="B27" s="312">
        <v>23</v>
      </c>
      <c r="C27" s="7"/>
      <c r="D27" s="7"/>
      <c r="E27" s="7"/>
      <c r="F27" s="298" t="str">
        <f t="shared" si="0"/>
        <v/>
      </c>
      <c r="G27" s="7"/>
      <c r="H27" s="300" t="str">
        <f t="shared" si="1"/>
        <v/>
      </c>
      <c r="I27" s="7"/>
      <c r="J27" s="300" t="str">
        <f t="shared" si="2"/>
        <v/>
      </c>
      <c r="K27" s="313" t="str">
        <f t="shared" si="3"/>
        <v/>
      </c>
      <c r="L27" s="9"/>
    </row>
    <row r="28" spans="1:12">
      <c r="A28" s="294"/>
      <c r="B28" s="312">
        <v>24</v>
      </c>
      <c r="C28" s="7"/>
      <c r="D28" s="7"/>
      <c r="E28" s="7"/>
      <c r="F28" s="298" t="str">
        <f t="shared" si="0"/>
        <v/>
      </c>
      <c r="G28" s="7"/>
      <c r="H28" s="300" t="str">
        <f t="shared" si="1"/>
        <v/>
      </c>
      <c r="I28" s="7"/>
      <c r="J28" s="300" t="str">
        <f t="shared" si="2"/>
        <v/>
      </c>
      <c r="K28" s="313" t="str">
        <f t="shared" si="3"/>
        <v/>
      </c>
      <c r="L28" s="9"/>
    </row>
    <row r="29" spans="1:12">
      <c r="A29" s="294"/>
      <c r="B29" s="312">
        <v>25</v>
      </c>
      <c r="C29" s="7"/>
      <c r="D29" s="7"/>
      <c r="E29" s="7"/>
      <c r="F29" s="298" t="str">
        <f t="shared" si="0"/>
        <v/>
      </c>
      <c r="G29" s="7"/>
      <c r="H29" s="300" t="str">
        <f t="shared" si="1"/>
        <v/>
      </c>
      <c r="I29" s="7"/>
      <c r="J29" s="300" t="str">
        <f t="shared" si="2"/>
        <v/>
      </c>
      <c r="K29" s="313" t="str">
        <f t="shared" si="3"/>
        <v/>
      </c>
      <c r="L29" s="9"/>
    </row>
    <row r="30" spans="1:12">
      <c r="A30" s="294"/>
      <c r="B30" s="312">
        <v>26</v>
      </c>
      <c r="C30" s="7"/>
      <c r="D30" s="7"/>
      <c r="E30" s="7"/>
      <c r="F30" s="298" t="str">
        <f t="shared" si="0"/>
        <v/>
      </c>
      <c r="G30" s="7"/>
      <c r="H30" s="300" t="str">
        <f t="shared" si="1"/>
        <v/>
      </c>
      <c r="I30" s="7"/>
      <c r="J30" s="300" t="str">
        <f t="shared" si="2"/>
        <v/>
      </c>
      <c r="K30" s="313" t="str">
        <f t="shared" si="3"/>
        <v/>
      </c>
      <c r="L30" s="9"/>
    </row>
    <row r="31" spans="1:12">
      <c r="A31" s="294"/>
      <c r="B31" s="312">
        <v>27</v>
      </c>
      <c r="C31" s="7"/>
      <c r="D31" s="7"/>
      <c r="E31" s="7"/>
      <c r="F31" s="298" t="str">
        <f t="shared" si="0"/>
        <v/>
      </c>
      <c r="G31" s="7"/>
      <c r="H31" s="300" t="str">
        <f t="shared" si="1"/>
        <v/>
      </c>
      <c r="I31" s="7"/>
      <c r="J31" s="300" t="str">
        <f t="shared" si="2"/>
        <v/>
      </c>
      <c r="K31" s="313" t="str">
        <f t="shared" si="3"/>
        <v/>
      </c>
      <c r="L31" s="9"/>
    </row>
    <row r="32" spans="1:12">
      <c r="A32" s="294"/>
      <c r="B32" s="312">
        <v>28</v>
      </c>
      <c r="C32" s="7"/>
      <c r="D32" s="7"/>
      <c r="E32" s="7"/>
      <c r="F32" s="298" t="str">
        <f t="shared" si="0"/>
        <v/>
      </c>
      <c r="G32" s="7"/>
      <c r="H32" s="300" t="str">
        <f t="shared" si="1"/>
        <v/>
      </c>
      <c r="I32" s="7"/>
      <c r="J32" s="300" t="str">
        <f t="shared" si="2"/>
        <v/>
      </c>
      <c r="K32" s="313" t="str">
        <f t="shared" ref="K32:K55" si="4">IF(I32="","",H32*I32)</f>
        <v/>
      </c>
      <c r="L32" s="9"/>
    </row>
    <row r="33" spans="1:12">
      <c r="A33" s="294"/>
      <c r="B33" s="312">
        <v>29</v>
      </c>
      <c r="C33" s="7"/>
      <c r="D33" s="7"/>
      <c r="E33" s="7"/>
      <c r="F33" s="298" t="str">
        <f t="shared" si="0"/>
        <v/>
      </c>
      <c r="G33" s="7"/>
      <c r="H33" s="300" t="str">
        <f t="shared" si="1"/>
        <v/>
      </c>
      <c r="I33" s="7"/>
      <c r="J33" s="300" t="str">
        <f t="shared" si="2"/>
        <v/>
      </c>
      <c r="K33" s="313" t="str">
        <f t="shared" si="4"/>
        <v/>
      </c>
      <c r="L33" s="9"/>
    </row>
    <row r="34" spans="1:12">
      <c r="A34" s="294"/>
      <c r="B34" s="312">
        <v>30</v>
      </c>
      <c r="C34" s="7"/>
      <c r="D34" s="7"/>
      <c r="E34" s="7"/>
      <c r="F34" s="298" t="str">
        <f t="shared" si="0"/>
        <v/>
      </c>
      <c r="G34" s="7"/>
      <c r="H34" s="300" t="str">
        <f t="shared" si="1"/>
        <v/>
      </c>
      <c r="I34" s="7"/>
      <c r="J34" s="300" t="str">
        <f t="shared" si="2"/>
        <v/>
      </c>
      <c r="K34" s="313" t="str">
        <f t="shared" si="4"/>
        <v/>
      </c>
      <c r="L34" s="9"/>
    </row>
    <row r="35" spans="1:12">
      <c r="A35" s="294"/>
      <c r="B35" s="312">
        <v>31</v>
      </c>
      <c r="C35" s="7"/>
      <c r="D35" s="7"/>
      <c r="E35" s="7"/>
      <c r="F35" s="298" t="str">
        <f t="shared" si="0"/>
        <v/>
      </c>
      <c r="G35" s="7"/>
      <c r="H35" s="300" t="str">
        <f t="shared" si="1"/>
        <v/>
      </c>
      <c r="I35" s="7"/>
      <c r="J35" s="300" t="str">
        <f t="shared" si="2"/>
        <v/>
      </c>
      <c r="K35" s="313" t="str">
        <f t="shared" si="4"/>
        <v/>
      </c>
      <c r="L35" s="9"/>
    </row>
    <row r="36" spans="1:12">
      <c r="A36" s="294"/>
      <c r="B36" s="312">
        <v>32</v>
      </c>
      <c r="C36" s="7"/>
      <c r="D36" s="7"/>
      <c r="E36" s="7"/>
      <c r="F36" s="298" t="str">
        <f t="shared" si="0"/>
        <v/>
      </c>
      <c r="G36" s="7"/>
      <c r="H36" s="300" t="str">
        <f t="shared" si="1"/>
        <v/>
      </c>
      <c r="I36" s="7"/>
      <c r="J36" s="300" t="str">
        <f t="shared" si="2"/>
        <v/>
      </c>
      <c r="K36" s="313" t="str">
        <f t="shared" si="4"/>
        <v/>
      </c>
      <c r="L36" s="9"/>
    </row>
    <row r="37" spans="1:12">
      <c r="A37" s="294"/>
      <c r="B37" s="312">
        <v>33</v>
      </c>
      <c r="C37" s="7"/>
      <c r="D37" s="7"/>
      <c r="E37" s="7"/>
      <c r="F37" s="298" t="str">
        <f t="shared" si="0"/>
        <v/>
      </c>
      <c r="G37" s="7"/>
      <c r="H37" s="300" t="str">
        <f t="shared" si="1"/>
        <v/>
      </c>
      <c r="I37" s="7"/>
      <c r="J37" s="300" t="str">
        <f t="shared" si="2"/>
        <v/>
      </c>
      <c r="K37" s="313" t="str">
        <f t="shared" si="4"/>
        <v/>
      </c>
      <c r="L37" s="9"/>
    </row>
    <row r="38" spans="1:12">
      <c r="A38" s="294"/>
      <c r="B38" s="312">
        <v>34</v>
      </c>
      <c r="C38" s="7"/>
      <c r="D38" s="7"/>
      <c r="E38" s="7"/>
      <c r="F38" s="298" t="str">
        <f t="shared" si="0"/>
        <v/>
      </c>
      <c r="G38" s="7"/>
      <c r="H38" s="300" t="str">
        <f t="shared" si="1"/>
        <v/>
      </c>
      <c r="I38" s="7"/>
      <c r="J38" s="300" t="str">
        <f t="shared" si="2"/>
        <v/>
      </c>
      <c r="K38" s="313" t="str">
        <f t="shared" si="4"/>
        <v/>
      </c>
      <c r="L38" s="9"/>
    </row>
    <row r="39" spans="1:12">
      <c r="A39" s="294"/>
      <c r="B39" s="312">
        <v>35</v>
      </c>
      <c r="C39" s="7"/>
      <c r="D39" s="7"/>
      <c r="E39" s="7"/>
      <c r="F39" s="298" t="str">
        <f t="shared" si="0"/>
        <v/>
      </c>
      <c r="G39" s="7"/>
      <c r="H39" s="300" t="str">
        <f t="shared" si="1"/>
        <v/>
      </c>
      <c r="I39" s="7"/>
      <c r="J39" s="300" t="str">
        <f t="shared" si="2"/>
        <v/>
      </c>
      <c r="K39" s="313" t="str">
        <f t="shared" si="4"/>
        <v/>
      </c>
      <c r="L39" s="9"/>
    </row>
    <row r="40" spans="1:12">
      <c r="A40" s="294"/>
      <c r="B40" s="312">
        <v>36</v>
      </c>
      <c r="C40" s="7"/>
      <c r="D40" s="7"/>
      <c r="E40" s="7"/>
      <c r="F40" s="298" t="str">
        <f t="shared" si="0"/>
        <v/>
      </c>
      <c r="G40" s="7"/>
      <c r="H40" s="300" t="str">
        <f t="shared" si="1"/>
        <v/>
      </c>
      <c r="I40" s="7"/>
      <c r="J40" s="300" t="str">
        <f t="shared" si="2"/>
        <v/>
      </c>
      <c r="K40" s="313" t="str">
        <f t="shared" si="4"/>
        <v/>
      </c>
      <c r="L40" s="9"/>
    </row>
    <row r="41" spans="1:12">
      <c r="A41" s="294"/>
      <c r="B41" s="312">
        <v>37</v>
      </c>
      <c r="C41" s="7"/>
      <c r="D41" s="7"/>
      <c r="E41" s="7"/>
      <c r="F41" s="298" t="str">
        <f t="shared" si="0"/>
        <v/>
      </c>
      <c r="G41" s="7"/>
      <c r="H41" s="300" t="str">
        <f t="shared" si="1"/>
        <v/>
      </c>
      <c r="I41" s="7"/>
      <c r="J41" s="300" t="str">
        <f t="shared" si="2"/>
        <v/>
      </c>
      <c r="K41" s="313" t="str">
        <f t="shared" si="4"/>
        <v/>
      </c>
      <c r="L41" s="9"/>
    </row>
    <row r="42" spans="1:12">
      <c r="A42" s="294"/>
      <c r="B42" s="312">
        <v>38</v>
      </c>
      <c r="C42" s="7"/>
      <c r="D42" s="7"/>
      <c r="E42" s="7"/>
      <c r="F42" s="298" t="str">
        <f t="shared" si="0"/>
        <v/>
      </c>
      <c r="G42" s="7"/>
      <c r="H42" s="300" t="str">
        <f t="shared" si="1"/>
        <v/>
      </c>
      <c r="I42" s="7"/>
      <c r="J42" s="300" t="str">
        <f t="shared" si="2"/>
        <v/>
      </c>
      <c r="K42" s="313" t="str">
        <f t="shared" si="4"/>
        <v/>
      </c>
      <c r="L42" s="9"/>
    </row>
    <row r="43" spans="1:12">
      <c r="A43" s="294"/>
      <c r="B43" s="312">
        <v>39</v>
      </c>
      <c r="C43" s="7"/>
      <c r="D43" s="7"/>
      <c r="E43" s="7"/>
      <c r="F43" s="298" t="str">
        <f t="shared" si="0"/>
        <v/>
      </c>
      <c r="G43" s="7"/>
      <c r="H43" s="300" t="str">
        <f t="shared" si="1"/>
        <v/>
      </c>
      <c r="I43" s="7"/>
      <c r="J43" s="300" t="str">
        <f t="shared" si="2"/>
        <v/>
      </c>
      <c r="K43" s="313" t="str">
        <f t="shared" si="4"/>
        <v/>
      </c>
      <c r="L43" s="9"/>
    </row>
    <row r="44" spans="1:12">
      <c r="A44" s="294"/>
      <c r="B44" s="312">
        <v>40</v>
      </c>
      <c r="C44" s="7"/>
      <c r="D44" s="7"/>
      <c r="E44" s="7"/>
      <c r="F44" s="298" t="str">
        <f t="shared" si="0"/>
        <v/>
      </c>
      <c r="G44" s="7"/>
      <c r="H44" s="300" t="str">
        <f t="shared" si="1"/>
        <v/>
      </c>
      <c r="I44" s="7"/>
      <c r="J44" s="300" t="str">
        <f t="shared" si="2"/>
        <v/>
      </c>
      <c r="K44" s="313" t="str">
        <f t="shared" si="4"/>
        <v/>
      </c>
      <c r="L44" s="9"/>
    </row>
    <row r="45" spans="1:12">
      <c r="A45" s="294"/>
      <c r="B45" s="312">
        <v>41</v>
      </c>
      <c r="C45" s="7"/>
      <c r="D45" s="7"/>
      <c r="E45" s="7"/>
      <c r="F45" s="298" t="str">
        <f t="shared" si="0"/>
        <v/>
      </c>
      <c r="G45" s="7"/>
      <c r="H45" s="300" t="str">
        <f t="shared" si="1"/>
        <v/>
      </c>
      <c r="I45" s="7"/>
      <c r="J45" s="300" t="str">
        <f t="shared" si="2"/>
        <v/>
      </c>
      <c r="K45" s="313" t="str">
        <f t="shared" si="4"/>
        <v/>
      </c>
      <c r="L45" s="9"/>
    </row>
    <row r="46" spans="1:12">
      <c r="A46" s="294"/>
      <c r="B46" s="312">
        <v>42</v>
      </c>
      <c r="C46" s="7"/>
      <c r="D46" s="7"/>
      <c r="E46" s="7"/>
      <c r="F46" s="298" t="str">
        <f t="shared" si="0"/>
        <v/>
      </c>
      <c r="G46" s="7"/>
      <c r="H46" s="300" t="str">
        <f t="shared" si="1"/>
        <v/>
      </c>
      <c r="I46" s="7"/>
      <c r="J46" s="300" t="str">
        <f t="shared" si="2"/>
        <v/>
      </c>
      <c r="K46" s="313" t="str">
        <f t="shared" si="4"/>
        <v/>
      </c>
      <c r="L46" s="9"/>
    </row>
    <row r="47" spans="1:12">
      <c r="A47" s="294"/>
      <c r="B47" s="312">
        <v>43</v>
      </c>
      <c r="C47" s="7"/>
      <c r="D47" s="7"/>
      <c r="E47" s="7"/>
      <c r="F47" s="298" t="str">
        <f t="shared" si="0"/>
        <v/>
      </c>
      <c r="G47" s="7"/>
      <c r="H47" s="300" t="str">
        <f t="shared" si="1"/>
        <v/>
      </c>
      <c r="I47" s="7"/>
      <c r="J47" s="300" t="str">
        <f t="shared" si="2"/>
        <v/>
      </c>
      <c r="K47" s="313" t="str">
        <f t="shared" si="4"/>
        <v/>
      </c>
      <c r="L47" s="9"/>
    </row>
    <row r="48" spans="1:12">
      <c r="A48" s="294"/>
      <c r="B48" s="312">
        <v>44</v>
      </c>
      <c r="C48" s="7"/>
      <c r="D48" s="7"/>
      <c r="E48" s="7"/>
      <c r="F48" s="298" t="str">
        <f t="shared" si="0"/>
        <v/>
      </c>
      <c r="G48" s="7"/>
      <c r="H48" s="300" t="str">
        <f t="shared" si="1"/>
        <v/>
      </c>
      <c r="I48" s="7"/>
      <c r="J48" s="300" t="str">
        <f t="shared" si="2"/>
        <v/>
      </c>
      <c r="K48" s="313" t="str">
        <f t="shared" si="4"/>
        <v/>
      </c>
      <c r="L48" s="9"/>
    </row>
    <row r="49" spans="1:12">
      <c r="A49" s="294"/>
      <c r="B49" s="312">
        <v>45</v>
      </c>
      <c r="C49" s="7"/>
      <c r="D49" s="7"/>
      <c r="E49" s="7"/>
      <c r="F49" s="298" t="str">
        <f t="shared" si="0"/>
        <v/>
      </c>
      <c r="G49" s="7"/>
      <c r="H49" s="300" t="str">
        <f t="shared" si="1"/>
        <v/>
      </c>
      <c r="I49" s="7"/>
      <c r="J49" s="300" t="str">
        <f t="shared" si="2"/>
        <v/>
      </c>
      <c r="K49" s="313" t="str">
        <f t="shared" si="4"/>
        <v/>
      </c>
      <c r="L49" s="9"/>
    </row>
    <row r="50" spans="1:12">
      <c r="A50" s="294"/>
      <c r="B50" s="312">
        <v>46</v>
      </c>
      <c r="C50" s="7"/>
      <c r="D50" s="7"/>
      <c r="E50" s="7"/>
      <c r="F50" s="298" t="str">
        <f t="shared" si="0"/>
        <v/>
      </c>
      <c r="G50" s="7"/>
      <c r="H50" s="300" t="str">
        <f t="shared" si="1"/>
        <v/>
      </c>
      <c r="I50" s="7"/>
      <c r="J50" s="300" t="str">
        <f t="shared" si="2"/>
        <v/>
      </c>
      <c r="K50" s="313" t="str">
        <f t="shared" si="4"/>
        <v/>
      </c>
      <c r="L50" s="9"/>
    </row>
    <row r="51" spans="1:12">
      <c r="A51" s="294"/>
      <c r="B51" s="312">
        <v>47</v>
      </c>
      <c r="C51" s="7"/>
      <c r="D51" s="7"/>
      <c r="E51" s="7"/>
      <c r="F51" s="298" t="str">
        <f t="shared" si="0"/>
        <v/>
      </c>
      <c r="G51" s="7"/>
      <c r="H51" s="300" t="str">
        <f t="shared" si="1"/>
        <v/>
      </c>
      <c r="I51" s="7"/>
      <c r="J51" s="300" t="str">
        <f t="shared" si="2"/>
        <v/>
      </c>
      <c r="K51" s="313" t="str">
        <f t="shared" si="4"/>
        <v/>
      </c>
      <c r="L51" s="9"/>
    </row>
    <row r="52" spans="1:12">
      <c r="A52" s="294"/>
      <c r="B52" s="312">
        <v>48</v>
      </c>
      <c r="C52" s="7"/>
      <c r="D52" s="7"/>
      <c r="E52" s="7"/>
      <c r="F52" s="298" t="str">
        <f t="shared" si="0"/>
        <v/>
      </c>
      <c r="G52" s="7"/>
      <c r="H52" s="300" t="str">
        <f t="shared" si="1"/>
        <v/>
      </c>
      <c r="I52" s="7"/>
      <c r="J52" s="300" t="str">
        <f t="shared" si="2"/>
        <v/>
      </c>
      <c r="K52" s="313" t="str">
        <f t="shared" si="4"/>
        <v/>
      </c>
      <c r="L52" s="9"/>
    </row>
    <row r="53" spans="1:12">
      <c r="A53" s="294"/>
      <c r="B53" s="312">
        <v>49</v>
      </c>
      <c r="C53" s="7"/>
      <c r="D53" s="7"/>
      <c r="E53" s="7"/>
      <c r="F53" s="298" t="str">
        <f t="shared" si="0"/>
        <v/>
      </c>
      <c r="G53" s="7"/>
      <c r="H53" s="300" t="str">
        <f t="shared" si="1"/>
        <v/>
      </c>
      <c r="I53" s="7"/>
      <c r="J53" s="300" t="str">
        <f t="shared" si="2"/>
        <v/>
      </c>
      <c r="K53" s="313" t="str">
        <f t="shared" si="4"/>
        <v/>
      </c>
      <c r="L53" s="9"/>
    </row>
    <row r="54" spans="1:12">
      <c r="A54" s="294"/>
      <c r="B54" s="312">
        <v>50</v>
      </c>
      <c r="C54" s="7"/>
      <c r="D54" s="7"/>
      <c r="E54" s="7"/>
      <c r="F54" s="298" t="str">
        <f t="shared" si="0"/>
        <v/>
      </c>
      <c r="G54" s="7"/>
      <c r="H54" s="300" t="str">
        <f t="shared" si="1"/>
        <v/>
      </c>
      <c r="I54" s="7"/>
      <c r="J54" s="300" t="str">
        <f t="shared" si="2"/>
        <v/>
      </c>
      <c r="K54" s="313" t="str">
        <f t="shared" si="4"/>
        <v/>
      </c>
      <c r="L54" s="9"/>
    </row>
    <row r="55" spans="1:12" ht="0.6" customHeight="1">
      <c r="A55" s="294">
        <v>55</v>
      </c>
      <c r="B55" s="312"/>
      <c r="C55" s="7"/>
      <c r="D55" s="7"/>
      <c r="E55" s="7"/>
      <c r="F55" s="298" t="str">
        <f t="shared" ref="F55" si="5">IF(E55="","",D55*E55)</f>
        <v/>
      </c>
      <c r="G55" s="7"/>
      <c r="H55" s="300" t="str">
        <f t="shared" ref="H55" si="6">IF(G55="","",F55/G55)</f>
        <v/>
      </c>
      <c r="I55" s="7"/>
      <c r="J55" s="300" t="str">
        <f t="shared" ref="J55" si="7">IF(I55="","",F55*I55)</f>
        <v/>
      </c>
      <c r="K55" s="313" t="str">
        <f t="shared" si="4"/>
        <v/>
      </c>
      <c r="L55" s="9"/>
    </row>
    <row r="56" spans="1:12" ht="16.5" customHeight="1">
      <c r="A56" s="294"/>
      <c r="B56" s="347" t="s">
        <v>12</v>
      </c>
      <c r="C56" s="348"/>
      <c r="D56" s="348"/>
      <c r="E56" s="349"/>
      <c r="F56" s="299">
        <f>SUM(F5:F55)</f>
        <v>0</v>
      </c>
      <c r="G56" s="10"/>
      <c r="H56" s="301">
        <f>SUM(H5:H55)</f>
        <v>0</v>
      </c>
      <c r="I56" s="10"/>
      <c r="J56" s="299">
        <f>SUM(J5:J55)</f>
        <v>0</v>
      </c>
      <c r="K56" s="314">
        <f>SUM(K5:K55)</f>
        <v>0</v>
      </c>
      <c r="L56" s="9"/>
    </row>
    <row r="57" spans="1:12" ht="18" hidden="1" customHeight="1">
      <c r="A57" s="294"/>
      <c r="B57" s="344" t="s">
        <v>13</v>
      </c>
      <c r="C57" s="345"/>
      <c r="D57" s="345"/>
      <c r="E57" s="346"/>
      <c r="F57" s="11"/>
      <c r="G57" s="12"/>
      <c r="H57" s="13"/>
      <c r="I57" s="12"/>
      <c r="J57" s="13"/>
      <c r="K57" s="315"/>
      <c r="L57" s="9"/>
    </row>
    <row r="58" spans="1:12">
      <c r="A58" s="294"/>
      <c r="B58" s="344" t="s">
        <v>14</v>
      </c>
      <c r="C58" s="345"/>
      <c r="D58" s="345"/>
      <c r="E58" s="346"/>
      <c r="F58" s="15">
        <v>0.92</v>
      </c>
      <c r="G58" s="352"/>
      <c r="H58" s="353"/>
      <c r="I58" s="353"/>
      <c r="J58" s="353"/>
      <c r="K58" s="354"/>
      <c r="L58" s="9"/>
    </row>
    <row r="59" spans="1:12" ht="27.75" customHeight="1">
      <c r="A59" s="294"/>
      <c r="B59" s="344" t="s">
        <v>15</v>
      </c>
      <c r="C59" s="345"/>
      <c r="D59" s="345"/>
      <c r="E59" s="346"/>
      <c r="F59" s="263" t="str">
        <f>IFERROR(F56/H56," ")</f>
        <v xml:space="preserve"> </v>
      </c>
      <c r="G59" s="352"/>
      <c r="H59" s="353"/>
      <c r="I59" s="353"/>
      <c r="J59" s="353"/>
      <c r="K59" s="354"/>
      <c r="L59" s="9"/>
    </row>
    <row r="60" spans="1:12" ht="30" customHeight="1" thickBot="1">
      <c r="A60" s="296"/>
      <c r="B60" s="338" t="s">
        <v>16</v>
      </c>
      <c r="C60" s="339"/>
      <c r="D60" s="339"/>
      <c r="E60" s="339"/>
      <c r="F60" s="339"/>
      <c r="G60" s="339"/>
      <c r="H60" s="339"/>
      <c r="I60" s="339"/>
      <c r="J60" s="339"/>
      <c r="K60" s="340"/>
      <c r="L60" s="9"/>
    </row>
    <row r="61" spans="1:12" ht="30" hidden="1" customHeight="1">
      <c r="B61" s="286">
        <v>57</v>
      </c>
      <c r="C61" s="286"/>
      <c r="D61" s="286"/>
      <c r="E61" s="286"/>
      <c r="F61" s="286"/>
      <c r="G61" s="286"/>
      <c r="H61" s="286"/>
      <c r="I61" s="286"/>
      <c r="J61" s="286"/>
      <c r="K61" s="286"/>
      <c r="L61" s="9"/>
    </row>
    <row r="62" spans="1:12" ht="30" hidden="1" customHeight="1">
      <c r="B62" s="286">
        <v>58</v>
      </c>
      <c r="C62" s="286"/>
      <c r="D62" s="286"/>
      <c r="E62" s="286"/>
      <c r="F62" s="286"/>
      <c r="G62" s="286"/>
      <c r="H62" s="286"/>
      <c r="I62" s="286"/>
      <c r="J62" s="286"/>
      <c r="K62" s="286"/>
      <c r="L62" s="9"/>
    </row>
    <row r="63" spans="1:12" ht="30" hidden="1" customHeight="1">
      <c r="B63" s="286">
        <v>59</v>
      </c>
      <c r="C63" s="286"/>
      <c r="D63" s="286"/>
      <c r="E63" s="286"/>
      <c r="F63" s="286"/>
      <c r="G63" s="286"/>
      <c r="H63" s="286"/>
      <c r="I63" s="286"/>
      <c r="J63" s="286"/>
      <c r="K63" s="286"/>
      <c r="L63" s="9"/>
    </row>
    <row r="64" spans="1:12" ht="30" hidden="1" customHeight="1">
      <c r="B64" s="286">
        <v>60</v>
      </c>
      <c r="C64" s="286"/>
      <c r="D64" s="286"/>
      <c r="E64" s="286"/>
      <c r="F64" s="286"/>
      <c r="G64" s="286"/>
      <c r="H64" s="286"/>
      <c r="I64" s="286"/>
      <c r="J64" s="286"/>
      <c r="K64" s="286"/>
      <c r="L64" s="9"/>
    </row>
    <row r="65" spans="2:12" ht="30" hidden="1" customHeight="1">
      <c r="B65" s="286">
        <v>61</v>
      </c>
      <c r="C65" s="286"/>
      <c r="D65" s="286"/>
      <c r="E65" s="286"/>
      <c r="F65" s="286"/>
      <c r="G65" s="286"/>
      <c r="H65" s="286"/>
      <c r="I65" s="286"/>
      <c r="J65" s="286"/>
      <c r="K65" s="286"/>
      <c r="L65" s="9"/>
    </row>
    <row r="66" spans="2:12" ht="30" hidden="1" customHeight="1">
      <c r="B66" s="286">
        <v>62</v>
      </c>
      <c r="C66" s="286"/>
      <c r="D66" s="286"/>
      <c r="E66" s="286"/>
      <c r="F66" s="286"/>
      <c r="G66" s="286"/>
      <c r="H66" s="286"/>
      <c r="I66" s="286"/>
      <c r="J66" s="286"/>
      <c r="K66" s="286"/>
      <c r="L66" s="9"/>
    </row>
    <row r="67" spans="2:12" ht="30" hidden="1" customHeight="1">
      <c r="B67" s="286">
        <v>63</v>
      </c>
      <c r="C67" s="286"/>
      <c r="D67" s="286"/>
      <c r="E67" s="286"/>
      <c r="F67" s="286"/>
      <c r="G67" s="286"/>
      <c r="H67" s="286"/>
      <c r="I67" s="286"/>
      <c r="J67" s="286"/>
      <c r="K67" s="286"/>
      <c r="L67" s="9"/>
    </row>
    <row r="68" spans="2:12" ht="30" hidden="1" customHeight="1">
      <c r="B68" s="286">
        <v>64</v>
      </c>
      <c r="C68" s="286"/>
      <c r="D68" s="286"/>
      <c r="E68" s="286"/>
      <c r="F68" s="286"/>
      <c r="G68" s="286"/>
      <c r="H68" s="286"/>
      <c r="I68" s="286"/>
      <c r="J68" s="286"/>
      <c r="K68" s="286"/>
      <c r="L68" s="9"/>
    </row>
    <row r="69" spans="2:12" ht="30" hidden="1" customHeight="1">
      <c r="B69" s="286">
        <v>65</v>
      </c>
      <c r="C69" s="286"/>
      <c r="D69" s="286"/>
      <c r="E69" s="286"/>
      <c r="F69" s="286"/>
      <c r="G69" s="286"/>
      <c r="H69" s="286"/>
      <c r="I69" s="286"/>
      <c r="J69" s="286"/>
      <c r="K69" s="286"/>
      <c r="L69" s="9"/>
    </row>
    <row r="70" spans="2:12" ht="30" hidden="1" customHeight="1">
      <c r="B70" s="286">
        <v>66</v>
      </c>
      <c r="C70" s="286"/>
      <c r="D70" s="286"/>
      <c r="E70" s="286"/>
      <c r="F70" s="286"/>
      <c r="G70" s="286"/>
      <c r="H70" s="286"/>
      <c r="I70" s="286"/>
      <c r="J70" s="286"/>
      <c r="K70" s="286"/>
      <c r="L70" s="9"/>
    </row>
    <row r="71" spans="2:12" ht="30" hidden="1" customHeight="1">
      <c r="B71" s="286">
        <v>67</v>
      </c>
      <c r="C71" s="286"/>
      <c r="D71" s="286"/>
      <c r="E71" s="286"/>
      <c r="F71" s="286"/>
      <c r="G71" s="286"/>
      <c r="H71" s="286"/>
      <c r="I71" s="286"/>
      <c r="J71" s="286"/>
      <c r="K71" s="286"/>
      <c r="L71" s="9"/>
    </row>
    <row r="72" spans="2:12" ht="30" hidden="1" customHeight="1">
      <c r="B72" s="286">
        <v>68</v>
      </c>
      <c r="C72" s="286"/>
      <c r="D72" s="286"/>
      <c r="E72" s="286"/>
      <c r="F72" s="286"/>
      <c r="G72" s="286"/>
      <c r="H72" s="286"/>
      <c r="I72" s="286"/>
      <c r="J72" s="286"/>
      <c r="K72" s="286"/>
      <c r="L72" s="9"/>
    </row>
    <row r="73" spans="2:12" ht="30" hidden="1" customHeight="1">
      <c r="B73" s="286">
        <v>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9"/>
    </row>
    <row r="74" spans="2:12" ht="30" hidden="1" customHeight="1">
      <c r="B74" s="286">
        <v>70</v>
      </c>
      <c r="C74" s="286"/>
      <c r="D74" s="286"/>
      <c r="E74" s="286"/>
      <c r="F74" s="286"/>
      <c r="G74" s="286"/>
      <c r="H74" s="286"/>
      <c r="I74" s="286"/>
      <c r="J74" s="286"/>
      <c r="K74" s="286"/>
      <c r="L74" s="9"/>
    </row>
    <row r="75" spans="2:12" ht="30" hidden="1" customHeight="1">
      <c r="B75" s="286">
        <v>71</v>
      </c>
      <c r="C75" s="286"/>
      <c r="D75" s="286"/>
      <c r="E75" s="286"/>
      <c r="F75" s="286"/>
      <c r="G75" s="286"/>
      <c r="H75" s="286"/>
      <c r="I75" s="286"/>
      <c r="J75" s="286"/>
      <c r="K75" s="286"/>
      <c r="L75" s="9"/>
    </row>
    <row r="76" spans="2:12" ht="30" hidden="1" customHeight="1">
      <c r="B76" s="286">
        <v>72</v>
      </c>
      <c r="C76" s="286"/>
      <c r="D76" s="286"/>
      <c r="E76" s="286"/>
      <c r="F76" s="286"/>
      <c r="G76" s="286"/>
      <c r="H76" s="286"/>
      <c r="I76" s="286"/>
      <c r="J76" s="286"/>
      <c r="K76" s="286"/>
      <c r="L76" s="9"/>
    </row>
  </sheetData>
  <sheetProtection algorithmName="SHA-512" hashValue="licsht+B7klHBLojfdGgyB2rvD8BCigw/aMuWcvwZFY1ZXbCmOyL1XRSxiS8xcjfmZdBcrQx7HT7wVlGyCML+Q==" saltValue="V75pIURO0/g4E9KC6alM2w==" spinCount="100000" sheet="1" selectLockedCells="1"/>
  <mergeCells count="8">
    <mergeCell ref="B60:K60"/>
    <mergeCell ref="B2:K2"/>
    <mergeCell ref="B57:E57"/>
    <mergeCell ref="B58:E58"/>
    <mergeCell ref="B59:E59"/>
    <mergeCell ref="B56:E56"/>
    <mergeCell ref="B3:I3"/>
    <mergeCell ref="G58:K59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85" fitToWidth="0" orientation="portrait" horizontalDpi="4294967295" verticalDpi="4294967295" r:id="rId1"/>
  <rowBreaks count="1" manualBreakCount="1">
    <brk id="59" max="14" man="1"/>
  </rowBreaks>
  <ignoredErrors>
    <ignoredError sqref="F56:K56 K6:K31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2"/>
  <dimension ref="A1:D6"/>
  <sheetViews>
    <sheetView zoomScaleNormal="100" workbookViewId="0">
      <selection activeCell="C7" sqref="C7"/>
    </sheetView>
  </sheetViews>
  <sheetFormatPr defaultColWidth="9.140625" defaultRowHeight="12.75"/>
  <cols>
    <col min="1" max="2" width="42" style="171" customWidth="1"/>
    <col min="3" max="4" width="18.42578125" style="171" customWidth="1"/>
    <col min="5" max="16384" width="9.140625" style="171"/>
  </cols>
  <sheetData>
    <row r="1" spans="1:4" ht="13.5" thickBot="1"/>
    <row r="2" spans="1:4" ht="13.5" thickBot="1">
      <c r="A2" s="555" t="s">
        <v>261</v>
      </c>
      <c r="B2" s="555"/>
      <c r="C2" s="555"/>
      <c r="D2" s="555"/>
    </row>
    <row r="3" spans="1:4" ht="13.5" thickBot="1">
      <c r="A3" s="233" t="s">
        <v>238</v>
      </c>
      <c r="B3" s="233"/>
      <c r="C3" s="192" t="s">
        <v>262</v>
      </c>
      <c r="D3" s="193" t="s">
        <v>262</v>
      </c>
    </row>
    <row r="4" spans="1:4" ht="13.5" thickBot="1">
      <c r="A4" s="233" t="s">
        <v>263</v>
      </c>
      <c r="B4" s="233"/>
      <c r="C4" s="192" t="s">
        <v>244</v>
      </c>
      <c r="D4" s="193" t="s">
        <v>244</v>
      </c>
    </row>
    <row r="5" spans="1:4" ht="13.5" thickBot="1">
      <c r="A5" s="235" t="s">
        <v>238</v>
      </c>
      <c r="B5" s="235"/>
      <c r="C5" s="185" t="s">
        <v>303</v>
      </c>
      <c r="D5" s="186" t="s">
        <v>303</v>
      </c>
    </row>
    <row r="6" spans="1:4" ht="13.5" thickBot="1">
      <c r="A6" s="235" t="s">
        <v>263</v>
      </c>
      <c r="B6" s="235"/>
      <c r="C6" s="185" t="s">
        <v>244</v>
      </c>
      <c r="D6" s="186" t="s">
        <v>244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1">
    <tabColor rgb="FF002060"/>
  </sheetPr>
  <dimension ref="A1:XFD298"/>
  <sheetViews>
    <sheetView showGridLines="0" tabSelected="1" zoomScaleNormal="100" zoomScaleSheetLayoutView="100" workbookViewId="0">
      <selection activeCell="C4" sqref="C4:I5"/>
    </sheetView>
  </sheetViews>
  <sheetFormatPr defaultColWidth="9.140625" defaultRowHeight="12.75" zeroHeight="1"/>
  <cols>
    <col min="1" max="1" width="3.28515625" style="149" customWidth="1"/>
    <col min="2" max="2" width="23.85546875" style="36" customWidth="1"/>
    <col min="3" max="3" width="19.42578125" style="36" customWidth="1"/>
    <col min="4" max="4" width="13" style="36" customWidth="1"/>
    <col min="5" max="5" width="15.42578125" style="36" customWidth="1"/>
    <col min="6" max="6" width="14.5703125" style="36" customWidth="1"/>
    <col min="7" max="7" width="12.7109375" style="36" customWidth="1"/>
    <col min="8" max="8" width="6.42578125" style="36" customWidth="1"/>
    <col min="9" max="9" width="13" style="36" customWidth="1"/>
    <col min="10" max="10" width="1.7109375" style="32" hidden="1" customWidth="1"/>
    <col min="11" max="11" width="13.28515625" style="50" hidden="1" customWidth="1"/>
    <col min="12" max="12" width="14.7109375" style="51" hidden="1" customWidth="1"/>
    <col min="13" max="13" width="6.5703125" style="36" hidden="1" customWidth="1"/>
    <col min="14" max="32" width="9.140625" style="36" hidden="1" customWidth="1"/>
    <col min="33" max="33" width="21.42578125" style="36" hidden="1" customWidth="1"/>
    <col min="34" max="34" width="8.28515625" style="36" hidden="1" customWidth="1"/>
    <col min="35" max="36" width="9.140625" style="51" hidden="1" customWidth="1"/>
    <col min="37" max="37" width="13.85546875" style="51" hidden="1" customWidth="1"/>
    <col min="38" max="38" width="9.140625" style="51" hidden="1" customWidth="1"/>
    <col min="39" max="39" width="35.85546875" style="51" hidden="1" customWidth="1"/>
    <col min="40" max="40" width="12.140625" style="51" hidden="1" customWidth="1"/>
    <col min="41" max="41" width="9.140625" style="51" hidden="1" customWidth="1"/>
    <col min="42" max="42" width="63.28515625" style="51" hidden="1" customWidth="1"/>
    <col min="43" max="43" width="19.28515625" style="32" hidden="1" customWidth="1"/>
    <col min="44" max="16381" width="0" style="36" hidden="1" customWidth="1"/>
    <col min="16382" max="16382" width="23.85546875" style="36" hidden="1" customWidth="1"/>
    <col min="16383" max="16383" width="15" style="36" hidden="1" customWidth="1"/>
    <col min="16384" max="16384" width="7.85546875" style="36" customWidth="1"/>
  </cols>
  <sheetData>
    <row r="1" spans="1:21" ht="44.25" customHeight="1" thickBot="1">
      <c r="A1" s="380" t="s">
        <v>17</v>
      </c>
      <c r="B1" s="381"/>
      <c r="C1" s="381"/>
      <c r="D1" s="381"/>
      <c r="E1" s="381"/>
      <c r="F1" s="381"/>
      <c r="G1" s="381"/>
      <c r="H1" s="381"/>
      <c r="I1" s="382"/>
    </row>
    <row r="2" spans="1:21" ht="27.75" customHeight="1">
      <c r="A2" s="391" t="s">
        <v>18</v>
      </c>
      <c r="B2" s="323" t="s">
        <v>19</v>
      </c>
      <c r="C2" s="324"/>
      <c r="D2" s="324"/>
      <c r="E2" s="324"/>
      <c r="F2" s="325"/>
      <c r="G2" s="325"/>
      <c r="H2" s="325"/>
      <c r="I2" s="326"/>
    </row>
    <row r="3" spans="1:21" ht="8.25" customHeight="1">
      <c r="A3" s="392"/>
      <c r="B3" s="35"/>
      <c r="D3" s="37"/>
      <c r="I3" s="38"/>
    </row>
    <row r="4" spans="1:21" ht="16.5" customHeight="1">
      <c r="A4" s="392"/>
      <c r="B4" s="383" t="s">
        <v>20</v>
      </c>
      <c r="C4" s="385"/>
      <c r="D4" s="386"/>
      <c r="E4" s="386"/>
      <c r="F4" s="386"/>
      <c r="G4" s="386"/>
      <c r="H4" s="386"/>
      <c r="I4" s="387"/>
    </row>
    <row r="5" spans="1:21" ht="16.5" customHeight="1">
      <c r="A5" s="392"/>
      <c r="B5" s="384"/>
      <c r="C5" s="388"/>
      <c r="D5" s="389"/>
      <c r="E5" s="389"/>
      <c r="F5" s="389"/>
      <c r="G5" s="389"/>
      <c r="H5" s="389"/>
      <c r="I5" s="390"/>
    </row>
    <row r="6" spans="1:21" ht="11.25" customHeight="1">
      <c r="A6" s="392"/>
      <c r="B6" s="316"/>
      <c r="C6" s="39"/>
      <c r="D6" s="39"/>
      <c r="E6" s="39"/>
      <c r="F6" s="39"/>
      <c r="G6" s="39"/>
      <c r="H6" s="40"/>
      <c r="I6" s="41"/>
    </row>
    <row r="7" spans="1:21" ht="16.5" customHeight="1">
      <c r="A7" s="392"/>
      <c r="B7" s="383" t="s">
        <v>21</v>
      </c>
      <c r="C7" s="385"/>
      <c r="D7" s="386"/>
      <c r="E7" s="386"/>
      <c r="F7" s="386"/>
      <c r="G7" s="386"/>
      <c r="H7" s="386"/>
      <c r="I7" s="387"/>
    </row>
    <row r="8" spans="1:21" ht="16.5" customHeight="1">
      <c r="A8" s="392"/>
      <c r="B8" s="384"/>
      <c r="C8" s="388"/>
      <c r="D8" s="389"/>
      <c r="E8" s="389"/>
      <c r="F8" s="389"/>
      <c r="G8" s="389"/>
      <c r="H8" s="389"/>
      <c r="I8" s="390"/>
      <c r="T8" s="269">
        <v>34.5</v>
      </c>
      <c r="U8" s="270" t="s">
        <v>22</v>
      </c>
    </row>
    <row r="9" spans="1:21" ht="15.75" customHeight="1">
      <c r="A9" s="392"/>
      <c r="B9" s="317"/>
      <c r="C9" s="39"/>
      <c r="D9" s="39"/>
      <c r="E9" s="39"/>
      <c r="F9" s="39"/>
      <c r="G9" s="39"/>
      <c r="H9" s="39"/>
      <c r="I9" s="43"/>
      <c r="T9" s="269">
        <v>13.8</v>
      </c>
      <c r="U9" s="270" t="s">
        <v>23</v>
      </c>
    </row>
    <row r="10" spans="1:21" ht="16.5" customHeight="1">
      <c r="A10" s="392"/>
      <c r="B10" s="383" t="s">
        <v>24</v>
      </c>
      <c r="C10" s="385"/>
      <c r="D10" s="386"/>
      <c r="E10" s="386"/>
      <c r="F10" s="386"/>
      <c r="G10" s="386"/>
      <c r="H10" s="386"/>
      <c r="I10" s="387"/>
      <c r="T10" s="36">
        <v>23.1</v>
      </c>
    </row>
    <row r="11" spans="1:21" ht="16.5" customHeight="1">
      <c r="A11" s="392"/>
      <c r="B11" s="384"/>
      <c r="C11" s="388"/>
      <c r="D11" s="389"/>
      <c r="E11" s="389"/>
      <c r="F11" s="389"/>
      <c r="G11" s="389"/>
      <c r="H11" s="389"/>
      <c r="I11" s="390"/>
    </row>
    <row r="12" spans="1:21" ht="6.75" customHeight="1" thickBot="1">
      <c r="A12" s="392"/>
      <c r="B12" s="42"/>
      <c r="C12" s="39"/>
      <c r="D12" s="39"/>
      <c r="E12" s="39"/>
      <c r="F12" s="39"/>
      <c r="G12" s="39"/>
      <c r="H12" s="39"/>
      <c r="I12" s="43"/>
    </row>
    <row r="13" spans="1:21" ht="19.5" customHeight="1">
      <c r="A13" s="392"/>
      <c r="B13" s="394" t="s">
        <v>25</v>
      </c>
      <c r="C13" s="395"/>
      <c r="D13" s="395"/>
      <c r="E13" s="257"/>
      <c r="F13" s="257"/>
      <c r="G13" s="34"/>
      <c r="H13" s="34"/>
      <c r="I13" s="256"/>
    </row>
    <row r="14" spans="1:21" ht="15.75" customHeight="1">
      <c r="A14" s="392"/>
      <c r="B14" s="331" t="s">
        <v>26</v>
      </c>
      <c r="C14" s="297"/>
      <c r="D14" s="333" t="s">
        <v>27</v>
      </c>
      <c r="I14" s="38"/>
      <c r="J14" s="53"/>
      <c r="K14" s="54"/>
    </row>
    <row r="15" spans="1:21" ht="15.75" customHeight="1">
      <c r="A15" s="392"/>
      <c r="B15" s="48"/>
      <c r="C15" s="47"/>
      <c r="D15" s="52"/>
      <c r="I15" s="38"/>
      <c r="J15" s="53"/>
      <c r="K15" s="54"/>
    </row>
    <row r="16" spans="1:21" ht="15.75" customHeight="1">
      <c r="A16" s="392"/>
      <c r="B16" s="331" t="s">
        <v>28</v>
      </c>
      <c r="C16" s="297"/>
      <c r="D16" s="333" t="s">
        <v>29</v>
      </c>
      <c r="E16" s="255"/>
      <c r="I16" s="38"/>
    </row>
    <row r="17" spans="1:12" ht="14.25" customHeight="1" thickBot="1">
      <c r="A17" s="392"/>
      <c r="B17" s="48"/>
      <c r="C17" s="47"/>
      <c r="D17" s="52"/>
      <c r="G17" s="61"/>
      <c r="H17" s="61"/>
      <c r="I17" s="62"/>
    </row>
    <row r="18" spans="1:12" ht="3.75" customHeight="1">
      <c r="A18" s="392"/>
      <c r="B18" s="399"/>
      <c r="C18" s="400"/>
      <c r="D18" s="400"/>
      <c r="E18" s="257"/>
      <c r="F18" s="257"/>
      <c r="G18" s="44"/>
      <c r="H18" s="44"/>
      <c r="I18" s="45"/>
    </row>
    <row r="19" spans="1:12" ht="15.75" customHeight="1">
      <c r="A19" s="392"/>
      <c r="B19" s="332" t="s">
        <v>30</v>
      </c>
      <c r="C19" s="271" t="str">
        <f>IF(OR(C14="",C16=""),"",IF('QUADRO DE CARGAS'!H56=0," ",CONCATENATE(ROUND('QUADRO DE CARGAS'!H56,2)," kVA")))</f>
        <v/>
      </c>
      <c r="D19" s="292" t="str">
        <f>IF(OR(C14="",C16=""),"",IF('QUADRO DE CARGAS'!F56=0," ",CONCATENATE(ROUND('QUADRO DE CARGAS'!F56,2)," kW")))</f>
        <v/>
      </c>
      <c r="E19" s="287"/>
      <c r="F19" s="401" t="s">
        <v>31</v>
      </c>
      <c r="G19" s="401"/>
      <c r="H19" s="401"/>
      <c r="I19" s="402"/>
    </row>
    <row r="20" spans="1:12" ht="13.5" customHeight="1">
      <c r="A20" s="392"/>
      <c r="B20" s="260"/>
      <c r="C20" s="262"/>
      <c r="D20" s="290"/>
      <c r="E20" s="287"/>
      <c r="F20" s="401"/>
      <c r="G20" s="401"/>
      <c r="H20" s="401"/>
      <c r="I20" s="402"/>
    </row>
    <row r="21" spans="1:12" ht="15" customHeight="1">
      <c r="A21" s="392"/>
      <c r="B21" s="332" t="s">
        <v>32</v>
      </c>
      <c r="C21" s="261" t="str">
        <f>IF(C19="","",IF('QUADRO DE CARGAS'!K56=0," ",CONCATENATE(ROUND('QUADRO DE CARGAS'!K56,2)," kVA")))</f>
        <v/>
      </c>
      <c r="D21" s="262" t="str">
        <f>IF(C19="","",IF('QUADRO DE CARGAS'!J56=0," ",CONCATENATE(ROUND('QUADRO DE CARGAS'!J56,2)," kW")))</f>
        <v/>
      </c>
      <c r="E21" s="287"/>
      <c r="F21" s="401"/>
      <c r="G21" s="401"/>
      <c r="H21" s="401"/>
      <c r="I21" s="402"/>
    </row>
    <row r="22" spans="1:12" ht="15.75" hidden="1" customHeight="1">
      <c r="A22" s="392"/>
      <c r="B22" s="55"/>
      <c r="C22" s="46"/>
      <c r="D22" s="46"/>
      <c r="E22" s="46"/>
      <c r="F22" s="46"/>
      <c r="G22" s="46"/>
      <c r="H22" s="46"/>
      <c r="I22" s="56"/>
      <c r="K22" s="54"/>
    </row>
    <row r="23" spans="1:12" ht="15.75" hidden="1" customHeight="1">
      <c r="A23" s="392"/>
      <c r="B23" s="57" t="s">
        <v>33</v>
      </c>
      <c r="C23" s="396" t="s">
        <v>34</v>
      </c>
      <c r="D23" s="397"/>
      <c r="E23" s="59"/>
      <c r="F23" s="59"/>
      <c r="I23" s="38"/>
      <c r="J23" s="58"/>
    </row>
    <row r="24" spans="1:12" ht="7.5" customHeight="1" thickBot="1">
      <c r="A24" s="393"/>
      <c r="B24" s="60"/>
      <c r="C24" s="398"/>
      <c r="D24" s="398"/>
      <c r="E24" s="398"/>
      <c r="F24" s="398"/>
      <c r="G24" s="398"/>
      <c r="H24" s="61"/>
      <c r="I24" s="62"/>
      <c r="J24" s="49"/>
    </row>
    <row r="25" spans="1:12" ht="19.5" customHeight="1">
      <c r="A25" s="355" t="s">
        <v>35</v>
      </c>
      <c r="B25" s="323" t="s">
        <v>36</v>
      </c>
      <c r="C25" s="327"/>
      <c r="D25" s="327"/>
      <c r="E25" s="327"/>
      <c r="F25" s="327"/>
      <c r="G25" s="327"/>
      <c r="H25" s="327"/>
      <c r="I25" s="328"/>
    </row>
    <row r="26" spans="1:12" ht="29.25" customHeight="1">
      <c r="A26" s="356"/>
      <c r="B26" s="48"/>
      <c r="C26" s="64"/>
      <c r="D26" s="64"/>
      <c r="E26" s="64"/>
      <c r="F26" s="64"/>
      <c r="G26" s="64"/>
      <c r="H26" s="64"/>
      <c r="I26" s="63"/>
      <c r="K26" s="49"/>
      <c r="L26" s="49"/>
    </row>
    <row r="27" spans="1:12" ht="23.25" customHeight="1">
      <c r="A27" s="356"/>
      <c r="B27" s="65" t="s">
        <v>37</v>
      </c>
      <c r="C27" s="66" t="str">
        <f>IF(OR(C14="",C16=""),"",IF('QUADRO DE CARGAS'!F59=0," ",'QUADRO DE CARGAS'!F59))</f>
        <v/>
      </c>
      <c r="D27" s="64"/>
      <c r="E27" s="64"/>
      <c r="F27" s="46"/>
      <c r="G27" s="64"/>
      <c r="H27" s="64"/>
      <c r="I27" s="63"/>
    </row>
    <row r="28" spans="1:12" ht="23.25" customHeight="1">
      <c r="A28" s="356"/>
      <c r="B28" s="65" t="s">
        <v>38</v>
      </c>
      <c r="C28" s="66">
        <f>IF(C19=" "," ",IF('QUADRO DE CARGAS'!F58=0," ",'QUADRO DE CARGAS'!F58))</f>
        <v>0.92</v>
      </c>
      <c r="I28" s="38"/>
    </row>
    <row r="29" spans="1:12" ht="15.75">
      <c r="A29" s="356"/>
      <c r="B29" s="35"/>
      <c r="C29" s="68"/>
      <c r="I29" s="38"/>
    </row>
    <row r="30" spans="1:12" ht="19.5" customHeight="1">
      <c r="A30" s="356"/>
      <c r="B30" s="358" t="s">
        <v>39</v>
      </c>
      <c r="C30" s="359"/>
      <c r="D30" s="359"/>
      <c r="E30" s="359"/>
      <c r="F30" s="359"/>
      <c r="G30" s="69"/>
      <c r="I30" s="38"/>
      <c r="J30" s="49"/>
    </row>
    <row r="31" spans="1:12" ht="19.5" customHeight="1">
      <c r="A31" s="356"/>
      <c r="B31" s="70"/>
      <c r="C31" s="66" t="str">
        <f>IF(OR(C14="",C16=""),"",IF(C19=" "," ",CÁLCULOS!C26))</f>
        <v/>
      </c>
      <c r="D31" s="67" t="s">
        <v>40</v>
      </c>
      <c r="F31" s="49"/>
      <c r="G31" s="69"/>
      <c r="I31" s="38"/>
      <c r="J31" s="49"/>
    </row>
    <row r="32" spans="1:12" ht="19.5" customHeight="1" thickBot="1">
      <c r="A32" s="357"/>
      <c r="B32" s="70"/>
      <c r="C32" s="66"/>
      <c r="D32" s="67"/>
      <c r="F32" s="49"/>
      <c r="G32" s="69"/>
      <c r="I32" s="38"/>
      <c r="J32" s="49"/>
    </row>
    <row r="33" spans="1:43 16383:16384" ht="18" customHeight="1">
      <c r="A33" s="372" t="s">
        <v>41</v>
      </c>
      <c r="B33" s="323" t="s">
        <v>42</v>
      </c>
      <c r="C33" s="327"/>
      <c r="D33" s="327"/>
      <c r="E33" s="327"/>
      <c r="F33" s="327"/>
      <c r="G33" s="327"/>
      <c r="H33" s="327"/>
      <c r="I33" s="329"/>
      <c r="K33" s="49"/>
    </row>
    <row r="34" spans="1:43 16383:16384" ht="15" customHeight="1">
      <c r="A34" s="373"/>
      <c r="B34" s="65"/>
      <c r="C34" s="258" t="str">
        <f>IF(CÁLCULOS!C13=0," ",CONCATENATE(ROUND(CÁLCULOS!C13,2)," kVA"))</f>
        <v xml:space="preserve"> </v>
      </c>
      <c r="D34" s="71"/>
      <c r="I34" s="72"/>
    </row>
    <row r="35" spans="1:43 16383:16384" ht="15.75">
      <c r="A35" s="373"/>
      <c r="B35" s="73">
        <f>IF(CÁLCULOS!C13&gt;330,"Consultar NT.31.002.06",CÁLCULOS!C13)</f>
        <v>0</v>
      </c>
      <c r="I35" s="38"/>
      <c r="K35" s="49"/>
    </row>
    <row r="36" spans="1:43 16383:16384" ht="15" customHeight="1">
      <c r="A36" s="373"/>
      <c r="B36" s="364" t="s">
        <v>43</v>
      </c>
      <c r="C36" s="363" t="str">
        <f>IF(OR(C14="",C16=""),"",IF(B35="Consultar NT.31.002.06","SE Abrigada NT.31.002",IF('QUADRO DE CARGAS'!K56=0," ",IF('QUADRO DE CARGAS'!K56&lt;60,CÁLCULOS!D15,CONCATENATE(CÁLCULOS!D15," kVA")))))</f>
        <v/>
      </c>
      <c r="D36" s="363"/>
      <c r="G36" s="74" t="s">
        <v>44</v>
      </c>
      <c r="H36" s="75"/>
      <c r="I36" s="76"/>
      <c r="J36" s="74"/>
      <c r="K36" s="49"/>
    </row>
    <row r="37" spans="1:43 16383:16384" ht="15.75">
      <c r="A37" s="373"/>
      <c r="B37" s="364"/>
      <c r="C37" s="363"/>
      <c r="D37" s="363"/>
      <c r="E37" s="77"/>
      <c r="G37" s="252" t="str">
        <f>IF(OR(C14="",C16=""),"",IF(B35=0," ",IF(B35="Consultar NT.31.002.06"," ",IFERROR(VLOOKUP(CÁLCULOS!D15,GERAL!A12:D16,4,TRUE),"11"))))</f>
        <v/>
      </c>
      <c r="H37" s="78"/>
      <c r="I37" s="79"/>
      <c r="J37" s="80"/>
    </row>
    <row r="38" spans="1:43 16383:16384" ht="12.75" customHeight="1">
      <c r="A38" s="373"/>
      <c r="B38" s="35"/>
      <c r="I38" s="38"/>
      <c r="K38" s="49"/>
    </row>
    <row r="39" spans="1:43 16383:16384" ht="15" customHeight="1">
      <c r="A39" s="373"/>
      <c r="B39" s="35"/>
      <c r="G39" s="369" t="s">
        <v>45</v>
      </c>
      <c r="H39" s="75"/>
      <c r="I39" s="76"/>
    </row>
    <row r="40" spans="1:43 16383:16384" ht="16.5" customHeight="1">
      <c r="A40" s="373"/>
      <c r="B40" s="370" t="s">
        <v>46</v>
      </c>
      <c r="C40" s="371"/>
      <c r="D40" s="371"/>
      <c r="E40" s="403" t="str">
        <f>IF(OR(C14="",C16=""),"",IFERROR(IF(G37=" "," ",CONCATENATE(VLOOKUP(CÁLCULOS!D15,GERAL!A21:B29,2,FALSE)," kVAr"))," "))</f>
        <v/>
      </c>
      <c r="G40" s="369"/>
      <c r="H40" s="78"/>
      <c r="I40" s="81" t="s">
        <v>47</v>
      </c>
    </row>
    <row r="41" spans="1:43 16383:16384" ht="12.75" customHeight="1">
      <c r="A41" s="373"/>
      <c r="B41" s="370"/>
      <c r="C41" s="371"/>
      <c r="D41" s="371"/>
      <c r="E41" s="403"/>
      <c r="G41" s="252" t="str">
        <f>IF(OR(C14="",C16=""),"",IF(G37=" "," ",IFERROR(VLOOKUP(CÁLCULOS!D15,GERAL!A12:D16,3,TRUE),300)))</f>
        <v/>
      </c>
      <c r="I41" s="38"/>
    </row>
    <row r="42" spans="1:43 16383:16384" ht="15.75">
      <c r="A42" s="373"/>
      <c r="B42" s="82"/>
      <c r="C42" s="83"/>
      <c r="D42" s="83"/>
      <c r="E42" s="84"/>
      <c r="F42" s="85"/>
      <c r="I42" s="38"/>
    </row>
    <row r="43" spans="1:43 16383:16384" ht="15" customHeight="1">
      <c r="A43" s="373"/>
      <c r="B43" s="86"/>
      <c r="C43" s="87"/>
      <c r="D43" s="87"/>
      <c r="E43" s="87"/>
      <c r="F43" s="87"/>
      <c r="G43" s="87"/>
      <c r="H43" s="87"/>
      <c r="I43" s="88"/>
    </row>
    <row r="44" spans="1:43 16383:16384" ht="12.75" customHeight="1">
      <c r="A44" s="373"/>
      <c r="B44" s="375" t="s">
        <v>48</v>
      </c>
      <c r="C44" s="376"/>
      <c r="D44" s="376"/>
      <c r="E44" s="376"/>
      <c r="F44" s="376"/>
      <c r="G44" s="376"/>
      <c r="H44" s="87"/>
      <c r="I44" s="88"/>
    </row>
    <row r="45" spans="1:43 16383:16384" ht="12.75" customHeight="1">
      <c r="A45" s="373"/>
      <c r="B45" s="375"/>
      <c r="C45" s="376"/>
      <c r="D45" s="376"/>
      <c r="E45" s="376"/>
      <c r="F45" s="376"/>
      <c r="G45" s="376"/>
      <c r="H45" s="87"/>
      <c r="I45" s="88"/>
    </row>
    <row r="46" spans="1:43 16383:16384" ht="13.5" hidden="1" customHeight="1" thickBot="1">
      <c r="A46" s="373"/>
      <c r="B46" s="89"/>
      <c r="C46" s="90"/>
      <c r="D46" s="90"/>
      <c r="E46" s="90"/>
      <c r="F46" s="90"/>
      <c r="G46" s="90"/>
      <c r="H46" s="87"/>
      <c r="I46" s="88"/>
    </row>
    <row r="47" spans="1:43 16383:16384" ht="25.5" customHeight="1" thickBot="1">
      <c r="A47" s="374"/>
      <c r="B47" s="91"/>
      <c r="C47" s="92"/>
      <c r="D47" s="92"/>
      <c r="E47" s="92"/>
      <c r="F47" s="92"/>
      <c r="G47" s="92"/>
      <c r="H47" s="61"/>
      <c r="I47" s="62"/>
    </row>
    <row r="48" spans="1:43 16383:16384" s="321" customFormat="1" ht="22.5" customHeight="1">
      <c r="A48" s="365" t="s">
        <v>49</v>
      </c>
      <c r="B48" s="323" t="s">
        <v>50</v>
      </c>
      <c r="C48" s="327"/>
      <c r="D48" s="327"/>
      <c r="E48" s="327"/>
      <c r="F48" s="327"/>
      <c r="G48" s="327"/>
      <c r="H48" s="327"/>
      <c r="I48" s="329"/>
      <c r="J48" s="318"/>
      <c r="K48" s="319"/>
      <c r="L48" s="320"/>
      <c r="AI48" s="320"/>
      <c r="AJ48" s="320"/>
      <c r="AK48" s="320"/>
      <c r="AL48" s="320"/>
      <c r="AM48" s="320"/>
      <c r="AN48" s="320"/>
      <c r="AO48" s="320"/>
      <c r="AP48" s="320"/>
      <c r="AQ48" s="318"/>
      <c r="XFC48" s="36"/>
      <c r="XFD48" s="322"/>
    </row>
    <row r="49" spans="1:43 16383:16384">
      <c r="A49" s="366"/>
      <c r="B49" s="367"/>
      <c r="C49" s="368"/>
      <c r="D49" s="368"/>
      <c r="E49" s="368"/>
      <c r="I49" s="38"/>
      <c r="XFC49" s="321"/>
    </row>
    <row r="50" spans="1:43 16383:16384">
      <c r="A50" s="366"/>
      <c r="B50" s="35"/>
      <c r="I50" s="38"/>
    </row>
    <row r="51" spans="1:43 16383:16384" ht="15.75" customHeight="1">
      <c r="A51" s="366"/>
      <c r="B51" s="361" t="s">
        <v>51</v>
      </c>
      <c r="C51" s="362"/>
      <c r="D51" s="252" t="b">
        <f>IF(G37=" "," ",IF(C14=13.8,VLOOKUP(CÁLCULOS!D15,'TAB 02'!A11:F24,2,0),IF(C14=34.5,VLOOKUP(CÁLCULOS!D15,'TAB 02'!A11:F24,3,0),IF(C14=23.1,VLOOKUP(CÁLCULOS!D15,'TAB 02'!A11:F24,6,0)))))</f>
        <v>0</v>
      </c>
      <c r="E51" s="93"/>
      <c r="G51" s="94"/>
      <c r="H51" s="94"/>
      <c r="I51" s="95"/>
    </row>
    <row r="52" spans="1:43 16383:16384" ht="15.75" customHeight="1">
      <c r="A52" s="366"/>
      <c r="B52" s="96"/>
      <c r="C52" s="97"/>
      <c r="D52" s="97"/>
      <c r="E52" s="97"/>
      <c r="F52" s="51"/>
      <c r="I52" s="38"/>
    </row>
    <row r="53" spans="1:43 16383:16384" ht="15.75">
      <c r="A53" s="366"/>
      <c r="B53" s="361" t="s">
        <v>52</v>
      </c>
      <c r="C53" s="362"/>
      <c r="D53" s="252" t="b">
        <f>IF(G37=" "," ",IF(C14=13.8,VLOOKUP(CÁLCULOS!D15,'TAB 02'!A11:E24,4,0),IF(C14=34.5,VLOOKUP(CÁLCULOS!D15,'TAB 02'!A11:E24,5,0),IF(C14=23.1,VLOOKUP(CÁLCULOS!D15,'TAB 02'!A11:F24,6,0)))))</f>
        <v>0</v>
      </c>
      <c r="E53" s="93"/>
      <c r="F53" s="98"/>
      <c r="G53" s="94"/>
      <c r="H53" s="94"/>
      <c r="I53" s="99"/>
    </row>
    <row r="54" spans="1:43 16383:16384">
      <c r="A54" s="366"/>
      <c r="B54" s="100"/>
      <c r="C54" s="93"/>
      <c r="D54" s="93"/>
      <c r="E54" s="93"/>
      <c r="F54" s="101"/>
      <c r="G54" s="94"/>
      <c r="H54" s="94"/>
      <c r="I54" s="99"/>
    </row>
    <row r="55" spans="1:43 16383:16384" ht="37.5" customHeight="1" thickBot="1">
      <c r="A55" s="366"/>
      <c r="B55" s="378" t="s">
        <v>53</v>
      </c>
      <c r="C55" s="379"/>
      <c r="D55" s="379"/>
      <c r="E55" s="379"/>
      <c r="F55" s="379"/>
      <c r="G55" s="379"/>
      <c r="H55" s="102"/>
      <c r="I55" s="103"/>
    </row>
    <row r="56" spans="1:43 16383:16384" ht="15" hidden="1" customHeight="1" thickBot="1">
      <c r="A56" s="366"/>
      <c r="B56" s="35"/>
      <c r="I56" s="38"/>
    </row>
    <row r="57" spans="1:43 16383:16384" s="321" customFormat="1" ht="20.25" customHeight="1">
      <c r="A57" s="405" t="s">
        <v>54</v>
      </c>
      <c r="B57" s="323" t="s">
        <v>55</v>
      </c>
      <c r="C57" s="323"/>
      <c r="D57" s="323"/>
      <c r="E57" s="323"/>
      <c r="F57" s="334"/>
      <c r="G57" s="360"/>
      <c r="H57" s="360"/>
      <c r="I57" s="330"/>
      <c r="J57" s="318"/>
      <c r="K57" s="319"/>
      <c r="L57" s="320"/>
      <c r="AI57" s="320"/>
      <c r="AJ57" s="320"/>
      <c r="AK57" s="320"/>
      <c r="AL57" s="320"/>
      <c r="AM57" s="320"/>
      <c r="AN57" s="320"/>
      <c r="AO57" s="320"/>
      <c r="AP57" s="320"/>
      <c r="AQ57" s="318"/>
      <c r="XFC57" s="36"/>
      <c r="XFD57" s="322"/>
    </row>
    <row r="58" spans="1:43 16383:16384" ht="16.5" customHeight="1">
      <c r="A58" s="406"/>
      <c r="B58" s="35"/>
      <c r="I58" s="38"/>
      <c r="XFC58" s="321"/>
    </row>
    <row r="59" spans="1:43 16383:16384">
      <c r="A59" s="406"/>
      <c r="B59" s="104" t="s">
        <v>56</v>
      </c>
      <c r="C59" s="252" t="str">
        <f>IF(OR(C14="",C16=""),"",IFERROR(IF(C19=" "," ",IF($C$16="380/220",VLOOKUP(CÁLCULOS!D15,'TAB 03'!$A$16:$M$22,3,TRUE),VLOOKUP(CÁLCULOS!D15,'TAB 03'!$P$15:$AB$21,3,TRUE)))," "))</f>
        <v/>
      </c>
      <c r="D59" s="84" t="s">
        <v>57</v>
      </c>
      <c r="G59" s="49"/>
      <c r="I59" s="38"/>
      <c r="K59" s="49"/>
    </row>
    <row r="60" spans="1:43 16383:16384">
      <c r="A60" s="406"/>
      <c r="B60" s="105"/>
      <c r="C60" s="252"/>
      <c r="G60" s="49"/>
      <c r="I60" s="38"/>
      <c r="K60" s="49"/>
    </row>
    <row r="61" spans="1:43 16383:16384">
      <c r="A61" s="406"/>
      <c r="B61" s="104" t="s">
        <v>58</v>
      </c>
      <c r="C61" s="253" t="str">
        <f>IF(OR(C14="",C16=""),"",IFERROR(IF(C19=" "," ",IF(C16="380/220",VLOOKUP(CÁLCULOS!D15,'TAB 03'!A16:M22,5,TRUE),VLOOKUP(CÁLCULOS!D15,'TAB 03'!P15:AB21,5,TRUE)))," "))</f>
        <v/>
      </c>
      <c r="D61" s="84" t="s">
        <v>57</v>
      </c>
      <c r="G61" s="49"/>
      <c r="I61" s="38"/>
      <c r="K61" s="49"/>
    </row>
    <row r="62" spans="1:43 16383:16384">
      <c r="A62" s="406"/>
      <c r="B62" s="35"/>
      <c r="C62" s="252"/>
      <c r="G62" s="49"/>
      <c r="I62" s="38"/>
      <c r="K62" s="49"/>
    </row>
    <row r="63" spans="1:43 16383:16384" ht="21.75" customHeight="1">
      <c r="A63" s="406"/>
      <c r="B63" s="361" t="s">
        <v>59</v>
      </c>
      <c r="C63" s="362"/>
      <c r="D63" s="362"/>
      <c r="E63" s="377" t="str">
        <f>IF(OR(C14="",C16=""),"",IFERROR(IF(C19=" "," ",IF($C$16="380/220",VLOOKUP(CÁLCULOS!D15,'TAB 03'!$A$16:$M$22,7,TRUE),VLOOKUP(CÁLCULOS!D15,'TAB 03'!$P$15:$AB$21,7,TRUE)))," "))</f>
        <v/>
      </c>
      <c r="F63" s="377"/>
      <c r="G63" s="377"/>
      <c r="H63" s="377"/>
      <c r="I63" s="38"/>
    </row>
    <row r="64" spans="1:43 16383:16384" ht="29.25" customHeight="1">
      <c r="A64" s="406"/>
      <c r="B64" s="364" t="s">
        <v>60</v>
      </c>
      <c r="C64" s="408"/>
      <c r="D64" s="441" t="str">
        <f>IF(OR(C14="",C16=""),"",IFERROR(IF(C19=" "," ",IF($C$16="380/220",VLOOKUP(CÁLCULOS!D15,'TAB 03'!$A$16:$M$22,9,TRUE),VLOOKUP(CÁLCULOS!D15,'TAB 03'!$P$15:$AB$21,9,TRUE)))," "))</f>
        <v/>
      </c>
      <c r="E64" s="441"/>
      <c r="I64" s="38"/>
    </row>
    <row r="65" spans="1:12" ht="6" hidden="1" customHeight="1">
      <c r="A65" s="406"/>
      <c r="B65" s="35"/>
      <c r="I65" s="38"/>
    </row>
    <row r="66" spans="1:12">
      <c r="A66" s="406"/>
      <c r="B66" s="35"/>
      <c r="I66" s="38"/>
    </row>
    <row r="67" spans="1:12">
      <c r="A67" s="406"/>
      <c r="B67" s="35"/>
      <c r="E67" s="253"/>
      <c r="F67" s="32"/>
      <c r="G67" s="106"/>
      <c r="H67" s="51"/>
      <c r="I67" s="107"/>
      <c r="K67" s="36"/>
      <c r="L67" s="36"/>
    </row>
    <row r="68" spans="1:12">
      <c r="A68" s="406"/>
      <c r="B68" s="442" t="s">
        <v>61</v>
      </c>
      <c r="C68" s="403"/>
      <c r="D68" s="403"/>
      <c r="I68" s="38"/>
    </row>
    <row r="69" spans="1:12" ht="22.5" customHeight="1">
      <c r="A69" s="406"/>
      <c r="B69" s="251" t="s">
        <v>62</v>
      </c>
      <c r="C69" s="108" t="s">
        <v>63</v>
      </c>
      <c r="D69" s="108"/>
      <c r="I69" s="38"/>
    </row>
    <row r="70" spans="1:12" ht="22.5" customHeight="1">
      <c r="A70" s="406"/>
      <c r="B70" s="109" t="str">
        <f>IF(OR(C14="",C16=""),"",IFERROR(IF(C19=" "," ",IF($C$16="380/220",VLOOKUP(CÁLCULOS!D15,'TAB 03'!$A$16:$M$22,11,TRUE),VLOOKUP(CÁLCULOS!D15,'TAB 03'!$P$15:$AB$21,11,TRUE)))," "))</f>
        <v/>
      </c>
      <c r="C70" s="253" t="str">
        <f>IF(OR(C14="",C16=""),"",IFERROR(IF(C19=" "," ",IF($C$16="380/220",VLOOKUP(CÁLCULOS!D15,'TAB 03'!$A$17:$M$22,13,0),VLOOKUP(CÁLCULOS!D15,'TAB 03'!$P$15:$AB$21,13,0)))," "))</f>
        <v/>
      </c>
      <c r="D70" s="84"/>
      <c r="I70" s="38"/>
    </row>
    <row r="71" spans="1:12" ht="13.5" thickBot="1">
      <c r="A71" s="407"/>
      <c r="B71" s="254"/>
      <c r="C71" s="61"/>
      <c r="D71" s="61"/>
      <c r="E71" s="61"/>
      <c r="F71" s="61"/>
      <c r="G71" s="61"/>
      <c r="H71" s="61"/>
      <c r="I71" s="62"/>
    </row>
    <row r="72" spans="1:12" ht="18.75" hidden="1" thickBot="1">
      <c r="A72" s="410" t="s">
        <v>64</v>
      </c>
      <c r="B72" s="33" t="s">
        <v>65</v>
      </c>
      <c r="C72" s="44"/>
      <c r="D72" s="44"/>
      <c r="E72" s="44"/>
      <c r="F72" s="44"/>
      <c r="G72" s="44"/>
      <c r="H72" s="44"/>
      <c r="I72" s="45"/>
    </row>
    <row r="73" spans="1:12" ht="13.5" hidden="1" thickBot="1">
      <c r="A73" s="410"/>
      <c r="B73" s="35"/>
      <c r="F73" s="110"/>
      <c r="I73" s="38"/>
    </row>
    <row r="74" spans="1:12" ht="13.5" hidden="1" thickBot="1">
      <c r="A74" s="410"/>
      <c r="B74" s="35"/>
      <c r="F74" s="110"/>
      <c r="I74" s="38"/>
    </row>
    <row r="75" spans="1:12" ht="13.5" hidden="1" thickBot="1">
      <c r="A75" s="410"/>
      <c r="B75" s="111" t="e">
        <f>VLOOKUP(#REF!,#REF!,2,FALSE)</f>
        <v>#REF!</v>
      </c>
      <c r="C75" s="112" t="e">
        <f>#REF!*4</f>
        <v>#REF!</v>
      </c>
      <c r="D75" s="113" t="s">
        <v>66</v>
      </c>
      <c r="I75" s="38"/>
      <c r="K75" s="114"/>
    </row>
    <row r="76" spans="1:12" ht="13.5" hidden="1" thickBot="1">
      <c r="A76" s="410"/>
      <c r="B76" s="111" t="s">
        <v>67</v>
      </c>
      <c r="C76" s="112" t="e">
        <f>#REF!</f>
        <v>#REF!</v>
      </c>
      <c r="D76" s="115" t="s">
        <v>68</v>
      </c>
      <c r="G76" s="116"/>
      <c r="I76" s="38"/>
    </row>
    <row r="77" spans="1:12" ht="13.5" hidden="1" thickBot="1">
      <c r="A77" s="410"/>
      <c r="B77" s="117" t="s">
        <v>69</v>
      </c>
      <c r="C77" s="118" t="e">
        <f>4*#REF!</f>
        <v>#REF!</v>
      </c>
      <c r="D77" s="119" t="s">
        <v>66</v>
      </c>
      <c r="G77" s="116"/>
      <c r="I77" s="38"/>
      <c r="K77" s="49"/>
    </row>
    <row r="78" spans="1:12" ht="13.5" hidden="1" thickBot="1">
      <c r="A78" s="410"/>
      <c r="B78" s="35"/>
      <c r="C78" s="120"/>
      <c r="F78" s="49"/>
      <c r="H78" s="121" t="e">
        <f>VLOOKUP(C81,#REF!,2,TRUE)</f>
        <v>#REF!</v>
      </c>
      <c r="I78" s="38"/>
    </row>
    <row r="79" spans="1:12" ht="13.5" hidden="1" thickBot="1">
      <c r="A79" s="410"/>
      <c r="B79" s="35"/>
      <c r="E79" s="443"/>
      <c r="I79" s="38"/>
    </row>
    <row r="80" spans="1:12" ht="13.5" hidden="1" thickBot="1">
      <c r="A80" s="410"/>
      <c r="B80" s="35"/>
      <c r="E80" s="443"/>
      <c r="I80" s="38"/>
    </row>
    <row r="81" spans="1:10" ht="13.5" hidden="1" thickBot="1">
      <c r="A81" s="410"/>
      <c r="B81" s="35"/>
      <c r="C81" s="120" t="e">
        <f>SQRT(((G67*G67)*4*#REF!)/0.4)</f>
        <v>#REF!</v>
      </c>
      <c r="D81" s="36" t="s">
        <v>70</v>
      </c>
      <c r="E81" s="443"/>
      <c r="I81" s="38"/>
    </row>
    <row r="82" spans="1:10" ht="13.5" hidden="1" thickBot="1">
      <c r="A82" s="410"/>
      <c r="B82" s="35"/>
      <c r="C82" s="120"/>
      <c r="E82" s="443"/>
      <c r="I82" s="38"/>
    </row>
    <row r="83" spans="1:10" ht="13.5" hidden="1" thickBot="1">
      <c r="A83" s="410"/>
      <c r="B83" s="35"/>
      <c r="C83" s="120"/>
      <c r="E83" s="122"/>
      <c r="I83" s="38"/>
    </row>
    <row r="84" spans="1:10" ht="16.5" hidden="1" thickBot="1">
      <c r="A84" s="410"/>
      <c r="B84" s="123" t="s">
        <v>71</v>
      </c>
      <c r="C84" s="36" t="s">
        <v>72</v>
      </c>
      <c r="I84" s="38"/>
    </row>
    <row r="85" spans="1:10" ht="16.5" hidden="1" thickBot="1">
      <c r="A85" s="410"/>
      <c r="B85" s="123" t="s">
        <v>73</v>
      </c>
      <c r="C85" s="36" t="s">
        <v>74</v>
      </c>
      <c r="I85" s="38"/>
    </row>
    <row r="86" spans="1:10" ht="13.5" hidden="1" thickBot="1">
      <c r="A86" s="410"/>
      <c r="B86" s="124"/>
      <c r="I86" s="38"/>
    </row>
    <row r="87" spans="1:10" ht="20.25" hidden="1" thickBot="1">
      <c r="A87" s="410"/>
      <c r="B87" s="35" t="s">
        <v>75</v>
      </c>
      <c r="C87" s="125" t="e">
        <f>VLOOKUP(C68,#REF!,5,FALSE)</f>
        <v>#REF!</v>
      </c>
      <c r="G87" s="126" t="e">
        <f>VLOOKUP($H$78,#REF!,2,FALSE)</f>
        <v>#REF!</v>
      </c>
      <c r="I87" s="127" t="e">
        <f>VLOOKUP($H$78,#REF!,2,FALSE)</f>
        <v>#REF!</v>
      </c>
    </row>
    <row r="88" spans="1:10" ht="13.5" hidden="1" thickBot="1">
      <c r="A88" s="410"/>
      <c r="B88" s="35"/>
      <c r="I88" s="38"/>
    </row>
    <row r="89" spans="1:10" ht="20.25" hidden="1" customHeight="1" thickBot="1">
      <c r="A89" s="410"/>
      <c r="B89" s="105" t="e">
        <f>IF(C89&gt;1,"SERÃO INSTALADOS","SERÁ INSTALADO")</f>
        <v>#REF!</v>
      </c>
      <c r="C89" s="128" t="e">
        <f>VLOOKUP((#REF!/#REF!),#REF!,2,TRUE)</f>
        <v>#REF!</v>
      </c>
      <c r="D89" s="444" t="s">
        <v>75</v>
      </c>
      <c r="E89" s="444"/>
      <c r="F89" s="125" t="e">
        <f>VLOOKUP(C68,#REF!,5,FALSE)</f>
        <v>#REF!</v>
      </c>
      <c r="I89" s="38"/>
    </row>
    <row r="90" spans="1:10" ht="13.5" hidden="1" customHeight="1" thickBot="1">
      <c r="A90" s="410"/>
      <c r="B90" s="445" t="str">
        <f>C23</f>
        <v>AÇO GALVANIZADO</v>
      </c>
      <c r="C90" s="421"/>
      <c r="D90" s="421"/>
      <c r="E90" s="421"/>
      <c r="F90" s="421"/>
      <c r="H90" s="121" t="e">
        <f>H78+G87+I87</f>
        <v>#REF!</v>
      </c>
      <c r="I90" s="38"/>
    </row>
    <row r="91" spans="1:10" ht="13.5" hidden="1" customHeight="1" thickBot="1">
      <c r="A91" s="410"/>
      <c r="B91" s="445"/>
      <c r="C91" s="421"/>
      <c r="D91" s="421"/>
      <c r="E91" s="421"/>
      <c r="F91" s="421"/>
      <c r="H91" s="51"/>
      <c r="I91" s="38"/>
    </row>
    <row r="92" spans="1:10" ht="13.5" hidden="1" thickBot="1">
      <c r="A92" s="410"/>
      <c r="B92" s="35"/>
      <c r="H92" s="51"/>
      <c r="I92" s="38"/>
      <c r="J92" s="49"/>
    </row>
    <row r="93" spans="1:10" ht="13.5" hidden="1" thickBot="1">
      <c r="A93" s="411"/>
      <c r="B93" s="60"/>
      <c r="C93" s="61"/>
      <c r="D93" s="61"/>
      <c r="E93" s="61"/>
      <c r="F93" s="61"/>
      <c r="G93" s="61"/>
      <c r="H93" s="61"/>
      <c r="I93" s="62"/>
    </row>
    <row r="94" spans="1:10" ht="18.75" hidden="1" thickBot="1">
      <c r="A94" s="409" t="s">
        <v>76</v>
      </c>
      <c r="B94" s="33" t="s">
        <v>77</v>
      </c>
      <c r="C94" s="44"/>
      <c r="D94" s="44"/>
      <c r="E94" s="44"/>
      <c r="F94" s="44"/>
      <c r="G94" s="44"/>
      <c r="H94" s="44"/>
      <c r="I94" s="45"/>
    </row>
    <row r="95" spans="1:10" ht="12.75" hidden="1" customHeight="1">
      <c r="A95" s="410"/>
      <c r="B95" s="129"/>
      <c r="C95" s="130"/>
      <c r="D95" s="130"/>
      <c r="E95" s="130"/>
      <c r="F95" s="130"/>
      <c r="G95" s="130"/>
      <c r="H95" s="130"/>
      <c r="I95" s="131"/>
    </row>
    <row r="96" spans="1:10" ht="12" hidden="1" customHeight="1">
      <c r="A96" s="410"/>
      <c r="B96" s="35"/>
      <c r="G96" s="130"/>
      <c r="H96" s="130"/>
      <c r="I96" s="95"/>
    </row>
    <row r="97" spans="1:43 16383:16384" ht="12" hidden="1" customHeight="1">
      <c r="A97" s="410"/>
      <c r="B97" s="132" t="s">
        <v>78</v>
      </c>
      <c r="C97" s="133" t="e">
        <f>IF(C16="380/220",C34/(SQRT(3)*0.38),C34/(SQRT(3)*0.22))</f>
        <v>#VALUE!</v>
      </c>
      <c r="D97" s="133" t="s">
        <v>57</v>
      </c>
      <c r="G97" s="130"/>
      <c r="H97" s="130"/>
      <c r="I97" s="95"/>
    </row>
    <row r="98" spans="1:43 16383:16384" ht="12" hidden="1" customHeight="1">
      <c r="A98" s="410"/>
      <c r="B98" s="35"/>
      <c r="G98" s="130"/>
      <c r="H98" s="130"/>
      <c r="I98" s="95"/>
    </row>
    <row r="99" spans="1:43 16383:16384" ht="12" hidden="1" customHeight="1">
      <c r="A99" s="410"/>
      <c r="B99" s="129"/>
      <c r="C99" s="130"/>
      <c r="D99" s="130"/>
      <c r="E99" s="130"/>
      <c r="F99" s="130"/>
      <c r="G99" s="130"/>
      <c r="H99" s="130"/>
      <c r="I99" s="95"/>
    </row>
    <row r="100" spans="1:43 16383:16384" ht="13.5" hidden="1" thickBot="1">
      <c r="A100" s="410"/>
      <c r="B100" s="35"/>
      <c r="I100" s="38"/>
    </row>
    <row r="101" spans="1:43 16383:16384" ht="13.5" hidden="1" thickBot="1">
      <c r="A101" s="410"/>
      <c r="B101" s="35" t="s">
        <v>79</v>
      </c>
      <c r="I101" s="38"/>
    </row>
    <row r="102" spans="1:43 16383:16384" ht="13.5" hidden="1" thickBot="1">
      <c r="A102" s="410"/>
      <c r="B102" s="35"/>
      <c r="I102" s="38"/>
    </row>
    <row r="103" spans="1:43 16383:16384" ht="2.25" hidden="1" customHeight="1">
      <c r="A103" s="410"/>
      <c r="B103" s="35"/>
      <c r="I103" s="38"/>
    </row>
    <row r="104" spans="1:43 16383:16384" ht="23.25" hidden="1" customHeight="1">
      <c r="A104" s="410"/>
      <c r="B104" s="124" t="s">
        <v>80</v>
      </c>
      <c r="D104" s="134">
        <v>3</v>
      </c>
      <c r="E104" s="84" t="e">
        <f>IF(C16="380/220",VLOOKUP(C97,'[1]TAB 03'!A16:M23,5,TRUE),VLOOKUP(C97,'[1]TAB 03'!P15:AB21,5,TRUE))</f>
        <v>#VALUE!</v>
      </c>
      <c r="F104" s="135" t="s">
        <v>57</v>
      </c>
      <c r="I104" s="38"/>
    </row>
    <row r="105" spans="1:43 16383:16384" ht="17.25" hidden="1" customHeight="1">
      <c r="A105" s="410"/>
      <c r="B105" s="412" t="s">
        <v>81</v>
      </c>
      <c r="C105" s="413"/>
      <c r="D105" s="413"/>
      <c r="E105" s="413"/>
      <c r="F105" s="413"/>
      <c r="G105" s="413"/>
      <c r="H105" s="413"/>
      <c r="I105" s="414"/>
    </row>
    <row r="106" spans="1:43 16383:16384" ht="2.25" hidden="1" customHeight="1" thickBot="1">
      <c r="A106" s="411"/>
      <c r="B106" s="415"/>
      <c r="C106" s="416"/>
      <c r="D106" s="416"/>
      <c r="E106" s="416"/>
      <c r="F106" s="416"/>
      <c r="G106" s="416"/>
      <c r="H106" s="416"/>
      <c r="I106" s="417"/>
    </row>
    <row r="107" spans="1:43 16383:16384" ht="3" hidden="1" customHeight="1" thickBot="1">
      <c r="A107" s="250"/>
      <c r="B107" s="35"/>
      <c r="I107" s="38"/>
    </row>
    <row r="108" spans="1:43 16383:16384" ht="1.5" hidden="1" customHeight="1" thickBot="1">
      <c r="A108" s="250"/>
      <c r="B108" s="136"/>
      <c r="C108" s="137"/>
      <c r="D108" s="137"/>
      <c r="E108" s="137"/>
      <c r="F108" s="137"/>
      <c r="G108" s="137"/>
      <c r="H108" s="137"/>
      <c r="I108" s="138"/>
    </row>
    <row r="109" spans="1:43 16383:16384" s="321" customFormat="1" ht="20.25" customHeight="1">
      <c r="A109" s="418" t="s">
        <v>82</v>
      </c>
      <c r="B109" s="323" t="s">
        <v>83</v>
      </c>
      <c r="C109" s="327"/>
      <c r="D109" s="327"/>
      <c r="E109" s="327"/>
      <c r="F109" s="327"/>
      <c r="G109" s="327"/>
      <c r="H109" s="327"/>
      <c r="I109" s="329"/>
      <c r="J109" s="318"/>
      <c r="K109" s="319"/>
      <c r="L109" s="320"/>
      <c r="AI109" s="320"/>
      <c r="AJ109" s="320"/>
      <c r="AK109" s="320"/>
      <c r="AL109" s="320"/>
      <c r="AM109" s="320"/>
      <c r="AN109" s="320"/>
      <c r="AO109" s="320"/>
      <c r="AP109" s="320"/>
      <c r="AQ109" s="318"/>
      <c r="XFC109" s="36"/>
      <c r="XFD109" s="322"/>
    </row>
    <row r="110" spans="1:43 16383:16384" ht="7.5" customHeight="1">
      <c r="A110" s="419"/>
      <c r="B110" s="35"/>
      <c r="I110" s="38"/>
      <c r="XFC110" s="321"/>
    </row>
    <row r="111" spans="1:43 16383:16384" hidden="1">
      <c r="A111" s="419"/>
      <c r="B111" s="35"/>
      <c r="I111" s="38"/>
    </row>
    <row r="112" spans="1:43 16383:16384" hidden="1">
      <c r="A112" s="419"/>
      <c r="B112" s="35"/>
      <c r="I112" s="38"/>
    </row>
    <row r="113" spans="1:9" hidden="1">
      <c r="A113" s="419"/>
      <c r="B113" s="35"/>
      <c r="I113" s="38"/>
    </row>
    <row r="114" spans="1:9" hidden="1">
      <c r="A114" s="419"/>
      <c r="B114" s="35"/>
      <c r="C114" s="120"/>
      <c r="I114" s="38"/>
    </row>
    <row r="115" spans="1:9" ht="15" customHeight="1">
      <c r="A115" s="419"/>
      <c r="C115" s="253" t="s">
        <v>84</v>
      </c>
      <c r="E115" s="253" t="s">
        <v>85</v>
      </c>
      <c r="I115" s="38"/>
    </row>
    <row r="116" spans="1:9">
      <c r="A116" s="419"/>
      <c r="C116" s="427" t="str">
        <f>IF(C14=13.8,"12 kV   10 kA",IF(C14=34.5,IF(C16="380/220","30 kV   10 kA","30 kV   10 kA"),"21kV 10kA "))</f>
        <v xml:space="preserve">21kV 10kA </v>
      </c>
      <c r="E116" s="426" t="str">
        <f>IF(OR(C14="",C16=""),"",IF(C16=0," ","280 V   10 kA"))</f>
        <v/>
      </c>
      <c r="G116" s="37"/>
      <c r="I116" s="107"/>
    </row>
    <row r="117" spans="1:9">
      <c r="A117" s="419"/>
      <c r="B117" s="124"/>
      <c r="C117" s="427"/>
      <c r="E117" s="426"/>
      <c r="H117" s="139"/>
      <c r="I117" s="38"/>
    </row>
    <row r="118" spans="1:9" ht="15">
      <c r="A118" s="419"/>
      <c r="B118" s="124"/>
      <c r="D118" s="32"/>
      <c r="E118" s="140"/>
      <c r="H118" s="139"/>
      <c r="I118" s="38"/>
    </row>
    <row r="119" spans="1:9" ht="15" customHeight="1">
      <c r="A119" s="419"/>
      <c r="B119" s="124"/>
      <c r="I119" s="38"/>
    </row>
    <row r="120" spans="1:9">
      <c r="A120" s="419"/>
      <c r="B120" s="124"/>
      <c r="I120" s="38"/>
    </row>
    <row r="121" spans="1:9">
      <c r="A121" s="419"/>
      <c r="B121" s="124"/>
      <c r="G121" s="404" t="s">
        <v>86</v>
      </c>
      <c r="H121" s="404"/>
      <c r="I121" s="107"/>
    </row>
    <row r="122" spans="1:9" ht="15.75">
      <c r="A122" s="419"/>
      <c r="B122" s="124"/>
      <c r="G122" s="423" t="str">
        <f>IF(OR(C14="",C16=""),"",D64)</f>
        <v/>
      </c>
      <c r="H122" s="423"/>
      <c r="I122" s="38"/>
    </row>
    <row r="123" spans="1:9" ht="15.75">
      <c r="A123" s="419"/>
      <c r="B123" s="98" t="b">
        <f>D53</f>
        <v>0</v>
      </c>
      <c r="C123" s="98" t="b">
        <f>D51</f>
        <v>0</v>
      </c>
      <c r="D123" s="98" t="str">
        <f>C36</f>
        <v/>
      </c>
      <c r="E123" s="141"/>
      <c r="G123" s="429" t="s">
        <v>34</v>
      </c>
      <c r="H123" s="429"/>
      <c r="I123" s="142"/>
    </row>
    <row r="124" spans="1:9">
      <c r="A124" s="419"/>
      <c r="I124" s="38"/>
    </row>
    <row r="125" spans="1:9">
      <c r="A125" s="419"/>
      <c r="B125" s="124"/>
      <c r="I125" s="38"/>
    </row>
    <row r="126" spans="1:9">
      <c r="A126" s="419"/>
      <c r="B126" s="124"/>
      <c r="I126" s="107"/>
    </row>
    <row r="127" spans="1:9">
      <c r="A127" s="419"/>
      <c r="B127" s="124"/>
      <c r="E127" s="421"/>
      <c r="F127" s="422"/>
      <c r="I127" s="38"/>
    </row>
    <row r="128" spans="1:9" ht="18">
      <c r="A128" s="419"/>
      <c r="B128" s="124"/>
      <c r="E128" s="421"/>
      <c r="F128" s="422"/>
      <c r="G128" s="143"/>
      <c r="H128" s="259" t="str">
        <f>IF(OR(C14="",C16=""),"",C61)</f>
        <v/>
      </c>
      <c r="I128" s="38"/>
    </row>
    <row r="129" spans="1:43 16383:16384">
      <c r="A129" s="419"/>
      <c r="B129" s="124"/>
      <c r="I129" s="38"/>
    </row>
    <row r="130" spans="1:43 16383:16384">
      <c r="A130" s="419"/>
      <c r="B130" s="124"/>
      <c r="I130" s="38"/>
    </row>
    <row r="131" spans="1:43 16383:16384" ht="12.75" customHeight="1">
      <c r="A131" s="419"/>
      <c r="B131" s="124"/>
      <c r="F131" s="424" t="s">
        <v>87</v>
      </c>
      <c r="G131" s="424"/>
      <c r="H131" s="424"/>
      <c r="I131" s="425"/>
    </row>
    <row r="132" spans="1:43 16383:16384">
      <c r="A132" s="419"/>
      <c r="B132" s="124"/>
      <c r="E132" s="51"/>
      <c r="F132" s="424"/>
      <c r="G132" s="424"/>
      <c r="H132" s="424"/>
      <c r="I132" s="425"/>
    </row>
    <row r="133" spans="1:43 16383:16384" ht="15">
      <c r="A133" s="419"/>
      <c r="B133" s="124"/>
      <c r="F133" s="440" t="str">
        <f>IF(OR(C14="",C16=""),"",E63)</f>
        <v/>
      </c>
      <c r="G133" s="440"/>
      <c r="H133" s="440"/>
      <c r="I133" s="337" t="s">
        <v>88</v>
      </c>
    </row>
    <row r="134" spans="1:43 16383:16384" ht="15.75">
      <c r="A134" s="419"/>
      <c r="B134" s="124"/>
      <c r="C134" s="144"/>
      <c r="E134" s="145"/>
      <c r="F134" s="126"/>
      <c r="I134" s="38"/>
    </row>
    <row r="135" spans="1:43 16383:16384" ht="15.75">
      <c r="A135" s="419"/>
      <c r="B135" s="124"/>
      <c r="C135" s="144" t="str">
        <f>IF(C14=0," ",CONCATENATE(C14," kV"))</f>
        <v xml:space="preserve"> </v>
      </c>
      <c r="E135" s="145" t="str">
        <f>IF(C16=0," ",CONCATENATE(C16," V"))</f>
        <v xml:space="preserve"> </v>
      </c>
      <c r="F135" s="145"/>
      <c r="G135" s="145"/>
      <c r="H135" s="93"/>
      <c r="I135" s="38"/>
    </row>
    <row r="136" spans="1:43 16383:16384">
      <c r="A136" s="419"/>
      <c r="B136" s="124"/>
      <c r="I136" s="38"/>
    </row>
    <row r="137" spans="1:43 16383:16384" ht="15.75">
      <c r="A137" s="419"/>
      <c r="B137" s="291" t="s">
        <v>89</v>
      </c>
      <c r="C137" s="68" t="str">
        <f>IF(C14=0," ",C14)</f>
        <v xml:space="preserve"> </v>
      </c>
      <c r="D137" s="36" t="s">
        <v>90</v>
      </c>
      <c r="F137" s="272" t="s">
        <v>44</v>
      </c>
      <c r="G137" s="428" t="s">
        <v>91</v>
      </c>
      <c r="H137" s="428"/>
      <c r="I137" s="273"/>
    </row>
    <row r="138" spans="1:43 16383:16384">
      <c r="A138" s="419"/>
      <c r="B138" s="35"/>
      <c r="F138" s="252" t="str">
        <f>G37</f>
        <v/>
      </c>
      <c r="G138" s="441" t="str">
        <f>G41</f>
        <v/>
      </c>
      <c r="H138" s="441"/>
      <c r="I138" s="38"/>
    </row>
    <row r="139" spans="1:43 16383:16384" hidden="1">
      <c r="A139" s="419"/>
      <c r="B139" s="35"/>
      <c r="I139" s="38"/>
    </row>
    <row r="140" spans="1:43 16383:16384" hidden="1">
      <c r="A140" s="419"/>
      <c r="B140" s="35"/>
      <c r="I140" s="38"/>
    </row>
    <row r="141" spans="1:43 16383:16384">
      <c r="A141" s="419"/>
      <c r="B141" s="35"/>
      <c r="I141" s="38"/>
    </row>
    <row r="142" spans="1:43 16383:16384" ht="12" customHeight="1" thickBot="1">
      <c r="A142" s="419"/>
      <c r="B142" s="35" t="str">
        <f>'QUADRO DE CARGAS'!B60:K60</f>
        <v>¹ Os cálculos definitivos devem seguir conforme projeto elétrico realizado por profissional devidamente habilitado.</v>
      </c>
      <c r="I142" s="38"/>
    </row>
    <row r="143" spans="1:43 16383:16384" ht="13.5" hidden="1" thickBot="1">
      <c r="A143" s="419"/>
      <c r="B143" s="35"/>
      <c r="I143" s="38"/>
    </row>
    <row r="144" spans="1:43 16383:16384" s="321" customFormat="1" ht="13.5" thickBot="1">
      <c r="A144" s="419"/>
      <c r="B144" s="433" t="s">
        <v>92</v>
      </c>
      <c r="C144" s="434"/>
      <c r="D144" s="434"/>
      <c r="E144" s="434"/>
      <c r="F144" s="434"/>
      <c r="G144" s="434"/>
      <c r="H144" s="434"/>
      <c r="I144" s="435"/>
      <c r="J144" s="318"/>
      <c r="K144" s="319"/>
      <c r="L144" s="320"/>
      <c r="AI144" s="320"/>
      <c r="AJ144" s="320"/>
      <c r="AK144" s="320"/>
      <c r="AL144" s="320"/>
      <c r="AM144" s="320"/>
      <c r="AN144" s="320"/>
      <c r="AO144" s="320"/>
      <c r="AP144" s="320"/>
      <c r="AQ144" s="318"/>
      <c r="XFC144" s="36"/>
      <c r="XFD144" s="322"/>
    </row>
    <row r="145" spans="1:58 16383:16383" ht="13.5" hidden="1" customHeight="1" thickBot="1">
      <c r="A145" s="420"/>
      <c r="B145" s="146"/>
      <c r="C145" s="147"/>
      <c r="D145" s="147"/>
      <c r="E145" s="147"/>
      <c r="F145" s="147"/>
      <c r="G145" s="147"/>
      <c r="H145" s="147"/>
      <c r="I145" s="148"/>
      <c r="XFC145" s="321"/>
    </row>
    <row r="146" spans="1:58 16383:16383"/>
    <row r="154" spans="1:58 16383:16383" hidden="1"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50"/>
      <c r="AJ154" s="150"/>
      <c r="AK154" s="150"/>
      <c r="AL154" s="150"/>
      <c r="AM154" s="150"/>
      <c r="AN154" s="150"/>
      <c r="AO154" s="150"/>
      <c r="AP154" s="150"/>
      <c r="AQ154" s="151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</row>
    <row r="155" spans="1:58 16383:16383" hidden="1"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50"/>
      <c r="AJ155" s="150"/>
      <c r="AK155" s="150"/>
      <c r="AL155" s="150"/>
      <c r="AM155" s="150"/>
      <c r="AN155" s="150"/>
      <c r="AO155" s="150"/>
      <c r="AP155" s="150"/>
      <c r="AQ155" s="151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</row>
    <row r="156" spans="1:58 16383:16383" hidden="1"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50"/>
      <c r="AJ156" s="150"/>
      <c r="AK156" s="150"/>
      <c r="AL156" s="150"/>
      <c r="AM156" s="150"/>
      <c r="AN156" s="150"/>
      <c r="AO156" s="150"/>
      <c r="AP156" s="150"/>
      <c r="AQ156" s="151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</row>
    <row r="157" spans="1:58 16383:16383" hidden="1"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50"/>
      <c r="AJ157" s="150"/>
      <c r="AK157" s="150"/>
      <c r="AL157" s="150"/>
      <c r="AM157" s="150"/>
      <c r="AN157" s="150"/>
      <c r="AO157" s="150"/>
      <c r="AP157" s="150"/>
      <c r="AQ157" s="151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</row>
    <row r="158" spans="1:58 16383:16383" hidden="1"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50"/>
      <c r="AJ158" s="150"/>
      <c r="AK158" s="150"/>
      <c r="AL158" s="150"/>
      <c r="AM158" s="150"/>
      <c r="AN158" s="150"/>
      <c r="AO158" s="150"/>
      <c r="AP158" s="150"/>
      <c r="AQ158" s="151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</row>
    <row r="159" spans="1:58 16383:16383" hidden="1"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436"/>
      <c r="X159" s="436"/>
      <c r="Y159" s="436"/>
      <c r="Z159" s="436"/>
      <c r="AA159" s="436"/>
      <c r="AB159" s="436"/>
      <c r="AC159" s="436"/>
      <c r="AD159" s="122"/>
      <c r="AE159" s="122"/>
      <c r="AF159" s="122"/>
      <c r="AG159" s="122"/>
      <c r="AH159" s="122"/>
      <c r="AI159" s="150"/>
      <c r="AJ159" s="150"/>
      <c r="AK159" s="150"/>
      <c r="AL159" s="150"/>
      <c r="AM159" s="150"/>
      <c r="AN159" s="150"/>
      <c r="AO159" s="150"/>
      <c r="AP159" s="150"/>
      <c r="AQ159" s="151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</row>
    <row r="160" spans="1:58 16383:16383" hidden="1"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437" t="s">
        <v>93</v>
      </c>
      <c r="X160" s="438"/>
      <c r="Y160" s="438"/>
      <c r="Z160" s="438"/>
      <c r="AA160" s="438"/>
      <c r="AB160" s="438"/>
      <c r="AC160" s="439"/>
      <c r="AD160" s="122"/>
      <c r="AE160" s="122"/>
      <c r="AF160" s="122"/>
      <c r="AG160" s="122"/>
      <c r="AH160" s="122"/>
      <c r="AI160" s="150"/>
      <c r="AJ160" s="150"/>
      <c r="AK160" s="150"/>
      <c r="AL160" s="150"/>
      <c r="AM160" s="152"/>
      <c r="AN160" s="150"/>
      <c r="AO160" s="150"/>
      <c r="AP160" s="150"/>
      <c r="AQ160" s="151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</row>
    <row r="161" spans="13:58" hidden="1"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437" t="s">
        <v>94</v>
      </c>
      <c r="X161" s="438"/>
      <c r="Y161" s="438"/>
      <c r="Z161" s="438"/>
      <c r="AA161" s="438"/>
      <c r="AB161" s="438"/>
      <c r="AC161" s="439"/>
      <c r="AD161" s="122"/>
      <c r="AE161" s="122"/>
      <c r="AF161" s="122"/>
      <c r="AG161" s="122"/>
      <c r="AH161" s="122"/>
      <c r="AI161" s="150"/>
      <c r="AJ161" s="150"/>
      <c r="AK161" s="150"/>
      <c r="AL161" s="150"/>
      <c r="AM161" s="153" t="s">
        <v>95</v>
      </c>
      <c r="AN161" s="150"/>
      <c r="AO161" s="150"/>
      <c r="AP161" s="150"/>
      <c r="AQ161" s="151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</row>
    <row r="162" spans="13:58" hidden="1"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437" t="s">
        <v>96</v>
      </c>
      <c r="X162" s="438"/>
      <c r="Y162" s="438"/>
      <c r="Z162" s="438"/>
      <c r="AA162" s="438"/>
      <c r="AB162" s="438"/>
      <c r="AC162" s="439"/>
      <c r="AD162" s="122"/>
      <c r="AE162" s="122"/>
      <c r="AF162" s="122"/>
      <c r="AG162" s="122"/>
      <c r="AH162" s="122"/>
      <c r="AI162" s="150"/>
      <c r="AJ162" s="150"/>
      <c r="AK162" s="150"/>
      <c r="AL162" s="150"/>
      <c r="AM162" s="153" t="s">
        <v>97</v>
      </c>
      <c r="AN162" s="150"/>
      <c r="AO162" s="150"/>
      <c r="AP162" s="150"/>
      <c r="AQ162" s="151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</row>
    <row r="163" spans="13:58" hidden="1"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50"/>
      <c r="AJ163" s="150"/>
      <c r="AK163" s="150"/>
      <c r="AL163" s="150"/>
      <c r="AM163" s="153" t="s">
        <v>98</v>
      </c>
      <c r="AN163" s="150"/>
      <c r="AO163" s="150"/>
      <c r="AP163" s="150"/>
      <c r="AQ163" s="151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</row>
    <row r="164" spans="13:58" hidden="1"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50"/>
      <c r="AJ164" s="150"/>
      <c r="AK164" s="150"/>
      <c r="AL164" s="150"/>
      <c r="AM164" s="153" t="s">
        <v>99</v>
      </c>
      <c r="AN164" s="150"/>
      <c r="AO164" s="150"/>
      <c r="AP164" s="150"/>
      <c r="AQ164" s="151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</row>
    <row r="165" spans="13:58" hidden="1"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50"/>
      <c r="AJ165" s="150"/>
      <c r="AK165" s="150"/>
      <c r="AL165" s="150"/>
      <c r="AM165" s="153" t="s">
        <v>100</v>
      </c>
      <c r="AN165" s="150"/>
      <c r="AO165" s="150"/>
      <c r="AP165" s="150"/>
      <c r="AQ165" s="151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</row>
    <row r="166" spans="13:58" hidden="1"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50"/>
      <c r="AJ166" s="150"/>
      <c r="AK166" s="150"/>
      <c r="AL166" s="150"/>
      <c r="AM166" s="150"/>
      <c r="AN166" s="150"/>
      <c r="AO166" s="150"/>
      <c r="AP166" s="150"/>
      <c r="AQ166" s="151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</row>
    <row r="167" spans="13:58" hidden="1"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50"/>
      <c r="AJ167" s="150"/>
      <c r="AK167" s="150"/>
      <c r="AL167" s="150"/>
      <c r="AM167" s="150"/>
      <c r="AN167" s="150"/>
      <c r="AO167" s="150"/>
      <c r="AP167" s="150"/>
      <c r="AQ167" s="151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</row>
    <row r="168" spans="13:58" hidden="1"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50"/>
      <c r="AJ168" s="150"/>
      <c r="AK168" s="150"/>
      <c r="AL168" s="150"/>
      <c r="AM168" s="150"/>
      <c r="AN168" s="150"/>
      <c r="AO168" s="150"/>
      <c r="AP168" s="150"/>
      <c r="AQ168" s="151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</row>
    <row r="169" spans="13:58" hidden="1"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50"/>
      <c r="AJ169" s="150"/>
      <c r="AK169" s="150"/>
      <c r="AL169" s="150"/>
      <c r="AM169" s="150"/>
      <c r="AN169" s="150"/>
      <c r="AO169" s="150"/>
      <c r="AP169" s="150"/>
      <c r="AQ169" s="151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</row>
    <row r="170" spans="13:58" hidden="1"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50"/>
      <c r="AJ170" s="150"/>
      <c r="AK170" s="150"/>
      <c r="AL170" s="150"/>
      <c r="AM170" s="150"/>
      <c r="AN170" s="150"/>
      <c r="AO170" s="150"/>
      <c r="AP170" s="150"/>
      <c r="AQ170" s="151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</row>
    <row r="171" spans="13:58" hidden="1"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50"/>
      <c r="AJ171" s="150"/>
      <c r="AK171" s="150"/>
      <c r="AL171" s="150"/>
      <c r="AM171" s="150"/>
      <c r="AN171" s="150"/>
      <c r="AO171" s="150"/>
      <c r="AP171" s="150"/>
      <c r="AQ171" s="151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</row>
    <row r="172" spans="13:58" hidden="1"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52" t="s">
        <v>101</v>
      </c>
      <c r="AH172" s="122"/>
      <c r="AI172" s="154" t="s">
        <v>102</v>
      </c>
      <c r="AJ172" s="155" t="s">
        <v>9</v>
      </c>
      <c r="AK172" s="155" t="s">
        <v>103</v>
      </c>
      <c r="AL172" s="155" t="s">
        <v>104</v>
      </c>
      <c r="AM172" s="150"/>
      <c r="AN172" s="430" t="s">
        <v>105</v>
      </c>
      <c r="AO172" s="431"/>
      <c r="AP172" s="431"/>
      <c r="AQ172" s="43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</row>
    <row r="173" spans="13:58" hidden="1"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56"/>
      <c r="AH173" s="122"/>
      <c r="AI173" s="157">
        <v>220</v>
      </c>
      <c r="AJ173" s="152"/>
      <c r="AK173" s="152"/>
      <c r="AL173" s="152"/>
      <c r="AM173" s="150"/>
      <c r="AN173" s="158"/>
      <c r="AO173" s="150"/>
      <c r="AP173" s="150"/>
      <c r="AQ173" s="159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</row>
    <row r="174" spans="13:58" hidden="1"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52" t="s">
        <v>106</v>
      </c>
      <c r="AH174" s="122"/>
      <c r="AI174" s="160" t="s">
        <v>23</v>
      </c>
      <c r="AJ174" s="152">
        <v>0.01</v>
      </c>
      <c r="AK174" s="161">
        <v>13.8</v>
      </c>
      <c r="AL174" s="152">
        <v>0.1</v>
      </c>
      <c r="AM174" s="150"/>
      <c r="AN174" s="158" t="s">
        <v>107</v>
      </c>
      <c r="AO174" s="150"/>
      <c r="AP174" s="150"/>
      <c r="AQ174" s="159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</row>
    <row r="175" spans="13:58" ht="13.5" hidden="1" thickBot="1"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52" t="s">
        <v>34</v>
      </c>
      <c r="AH175" s="122"/>
      <c r="AI175" s="160" t="s">
        <v>22</v>
      </c>
      <c r="AJ175" s="152">
        <v>0.02</v>
      </c>
      <c r="AK175" s="161">
        <v>34.5</v>
      </c>
      <c r="AL175" s="152">
        <v>0.2</v>
      </c>
      <c r="AM175" s="150"/>
      <c r="AN175" s="162" t="s">
        <v>108</v>
      </c>
      <c r="AO175" s="163"/>
      <c r="AP175" s="163"/>
      <c r="AQ175" s="164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</row>
    <row r="176" spans="13:58" hidden="1"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52"/>
      <c r="AH176" s="122"/>
      <c r="AI176" s="152"/>
      <c r="AJ176" s="152">
        <v>0.03</v>
      </c>
      <c r="AK176" s="152"/>
      <c r="AL176" s="152">
        <v>0.3</v>
      </c>
      <c r="AM176" s="150"/>
      <c r="AN176" s="150"/>
      <c r="AO176" s="150"/>
      <c r="AP176" s="150"/>
      <c r="AQ176" s="151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</row>
    <row r="177" spans="13:58" hidden="1"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65"/>
      <c r="AH177" s="122"/>
      <c r="AI177" s="150"/>
      <c r="AJ177" s="152">
        <v>0.04</v>
      </c>
      <c r="AK177" s="152"/>
      <c r="AL177" s="152">
        <v>0.4</v>
      </c>
      <c r="AM177" s="150"/>
      <c r="AN177" s="150"/>
      <c r="AO177" s="150"/>
      <c r="AP177" s="150"/>
      <c r="AQ177" s="151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</row>
    <row r="178" spans="13:58" hidden="1"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50"/>
      <c r="AJ178" s="152">
        <v>0.05</v>
      </c>
      <c r="AK178" s="152"/>
      <c r="AL178" s="152">
        <v>0.5</v>
      </c>
      <c r="AM178" s="150"/>
      <c r="AN178" s="150"/>
      <c r="AO178" s="150"/>
      <c r="AP178" s="150"/>
      <c r="AQ178" s="151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</row>
    <row r="179" spans="13:58" hidden="1"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50"/>
      <c r="AJ179" s="152">
        <v>0.06</v>
      </c>
      <c r="AL179" s="152">
        <v>0.6</v>
      </c>
      <c r="AM179" s="150"/>
      <c r="AN179" s="150"/>
      <c r="AO179" s="150"/>
      <c r="AP179" s="150"/>
      <c r="AQ179" s="151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</row>
    <row r="180" spans="13:58" hidden="1"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50"/>
      <c r="AJ180" s="152">
        <v>7.0000000000000007E-2</v>
      </c>
      <c r="AK180" s="150"/>
      <c r="AL180" s="152">
        <v>0.7</v>
      </c>
      <c r="AM180" s="150"/>
      <c r="AN180" s="152" t="s">
        <v>109</v>
      </c>
      <c r="AO180" s="152" t="s">
        <v>110</v>
      </c>
      <c r="AP180" s="152" t="s">
        <v>111</v>
      </c>
      <c r="AQ180" s="151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2"/>
      <c r="BB180" s="122"/>
      <c r="BC180" s="122"/>
      <c r="BD180" s="122"/>
      <c r="BE180" s="122"/>
      <c r="BF180" s="122"/>
    </row>
    <row r="181" spans="13:58" hidden="1"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50"/>
      <c r="AJ181" s="152">
        <v>0.08</v>
      </c>
      <c r="AK181" s="150"/>
      <c r="AL181" s="152">
        <v>0.8</v>
      </c>
      <c r="AM181" s="150"/>
      <c r="AN181" s="152"/>
      <c r="AO181" s="152"/>
      <c r="AP181" s="166"/>
      <c r="AQ181" s="151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2"/>
      <c r="BB181" s="122"/>
      <c r="BC181" s="122"/>
      <c r="BD181" s="122"/>
      <c r="BE181" s="122"/>
      <c r="BF181" s="122"/>
    </row>
    <row r="182" spans="13:58" hidden="1"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50"/>
      <c r="AJ182" s="152">
        <v>0.09</v>
      </c>
      <c r="AK182" s="150"/>
      <c r="AL182" s="152">
        <v>0.9</v>
      </c>
      <c r="AM182" s="150"/>
      <c r="AN182" s="152">
        <v>1</v>
      </c>
      <c r="AO182" s="152" t="e">
        <f>IF(#REF!=$AP$182,"(A)","")</f>
        <v>#REF!</v>
      </c>
      <c r="AP182" s="167" t="s">
        <v>93</v>
      </c>
      <c r="AQ182" s="151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</row>
    <row r="183" spans="13:58" hidden="1"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50" t="s">
        <v>112</v>
      </c>
      <c r="AH183" s="122"/>
      <c r="AI183" s="150"/>
      <c r="AJ183" s="152">
        <v>0.1</v>
      </c>
      <c r="AK183" s="150"/>
      <c r="AL183" s="152">
        <v>1</v>
      </c>
      <c r="AM183" s="150"/>
      <c r="AN183" s="152">
        <v>2</v>
      </c>
      <c r="AO183" s="152" t="e">
        <f>IF(#REF!&lt;&gt;$AP$182,"(B)","")</f>
        <v>#REF!</v>
      </c>
      <c r="AP183" s="167" t="s">
        <v>94</v>
      </c>
      <c r="AQ183" s="151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</row>
    <row r="184" spans="13:58" hidden="1"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50"/>
      <c r="AJ184" s="152">
        <v>0.11</v>
      </c>
      <c r="AK184" s="150"/>
      <c r="AL184" s="150"/>
      <c r="AM184" s="150"/>
      <c r="AN184" s="168">
        <v>3</v>
      </c>
      <c r="AO184" s="152" t="e">
        <f>IF(#REF!&lt;&gt;$AP$182,"(C)","")</f>
        <v>#REF!</v>
      </c>
      <c r="AP184" s="167" t="s">
        <v>96</v>
      </c>
      <c r="AQ184" s="151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2"/>
      <c r="BB184" s="122"/>
      <c r="BC184" s="122"/>
      <c r="BD184" s="122"/>
      <c r="BE184" s="122"/>
      <c r="BF184" s="122"/>
    </row>
    <row r="185" spans="13:58" ht="13.5" hidden="1" thickBot="1"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50"/>
      <c r="AJ185" s="152">
        <v>0.12</v>
      </c>
      <c r="AK185" s="150"/>
      <c r="AL185" s="150"/>
      <c r="AM185" s="150"/>
      <c r="AN185" s="169">
        <v>4</v>
      </c>
      <c r="AO185" s="152" t="e">
        <f>IF(#REF!&lt;&gt;$AP$182,"(D)","")</f>
        <v>#REF!</v>
      </c>
      <c r="AP185" s="150"/>
      <c r="AQ185" s="151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2"/>
      <c r="BB185" s="122"/>
      <c r="BC185" s="122"/>
      <c r="BD185" s="122"/>
      <c r="BE185" s="122"/>
      <c r="BF185" s="122"/>
    </row>
    <row r="186" spans="13:58" hidden="1"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50"/>
      <c r="AJ186" s="152">
        <v>0.13</v>
      </c>
      <c r="AK186" s="150"/>
      <c r="AL186" s="150"/>
      <c r="AM186" s="150"/>
      <c r="AN186" s="150"/>
      <c r="AO186" s="152" t="e">
        <f>IF(#REF!&lt;&gt;$AP$182,"(E)","")</f>
        <v>#REF!</v>
      </c>
      <c r="AP186" s="150"/>
      <c r="AQ186" s="151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</row>
    <row r="187" spans="13:58" hidden="1"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50"/>
      <c r="AJ187" s="152">
        <v>0.14000000000000001</v>
      </c>
      <c r="AK187" s="150"/>
      <c r="AL187" s="150"/>
      <c r="AM187" s="150"/>
      <c r="AN187" s="150"/>
      <c r="AO187" s="152" t="e">
        <f>IF(#REF!&lt;&gt;$AP$182,"(F)","")</f>
        <v>#REF!</v>
      </c>
      <c r="AP187" s="150"/>
      <c r="AQ187" s="151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  <c r="BB187" s="122"/>
      <c r="BC187" s="122"/>
      <c r="BD187" s="122"/>
      <c r="BE187" s="122"/>
      <c r="BF187" s="122"/>
    </row>
    <row r="188" spans="13:58" hidden="1"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50"/>
      <c r="AJ188" s="152">
        <v>0.15</v>
      </c>
      <c r="AK188" s="150"/>
      <c r="AL188" s="150"/>
      <c r="AM188" s="150"/>
      <c r="AN188" s="150"/>
      <c r="AO188" s="150"/>
      <c r="AP188" s="150"/>
      <c r="AQ188" s="151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  <c r="BB188" s="122"/>
      <c r="BC188" s="122"/>
      <c r="BD188" s="122"/>
      <c r="BE188" s="122"/>
      <c r="BF188" s="122"/>
    </row>
    <row r="189" spans="13:58" hidden="1"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50"/>
      <c r="AJ189" s="152">
        <v>0.16</v>
      </c>
      <c r="AK189" s="150"/>
      <c r="AL189" s="122"/>
      <c r="AM189" s="150"/>
      <c r="AN189" s="150"/>
      <c r="AO189" s="150"/>
      <c r="AP189" s="150"/>
      <c r="AQ189" s="151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  <c r="BB189" s="122"/>
      <c r="BC189" s="122"/>
      <c r="BD189" s="122"/>
      <c r="BE189" s="122"/>
      <c r="BF189" s="122"/>
    </row>
    <row r="190" spans="13:58" hidden="1"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50"/>
      <c r="AJ190" s="152">
        <v>0.17</v>
      </c>
      <c r="AK190" s="150"/>
      <c r="AL190" s="122"/>
      <c r="AM190" s="150"/>
      <c r="AN190" s="150"/>
      <c r="AO190" s="150"/>
      <c r="AP190" s="150"/>
      <c r="AQ190" s="151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  <c r="BB190" s="122"/>
      <c r="BC190" s="122"/>
      <c r="BD190" s="122"/>
      <c r="BE190" s="122"/>
      <c r="BF190" s="122"/>
    </row>
    <row r="191" spans="13:58" hidden="1"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50"/>
      <c r="AJ191" s="152">
        <v>0.18</v>
      </c>
      <c r="AK191" s="150"/>
      <c r="AL191" s="122"/>
      <c r="AM191" s="150"/>
      <c r="AN191" s="150"/>
      <c r="AO191" s="150"/>
      <c r="AP191" s="150"/>
      <c r="AQ191" s="151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  <c r="BF191" s="122"/>
    </row>
    <row r="192" spans="13:58" hidden="1"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50"/>
      <c r="AJ192" s="152">
        <v>0.19</v>
      </c>
      <c r="AK192" s="150"/>
      <c r="AL192" s="150"/>
      <c r="AM192" s="150"/>
      <c r="AN192" s="150"/>
      <c r="AO192" s="150"/>
      <c r="AP192" s="150"/>
      <c r="AQ192" s="151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  <c r="BF192" s="122"/>
    </row>
    <row r="193" spans="13:58" hidden="1"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50"/>
      <c r="AJ193" s="152">
        <v>0.2</v>
      </c>
      <c r="AK193" s="150"/>
      <c r="AL193" s="150"/>
      <c r="AM193" s="150"/>
      <c r="AN193" s="150"/>
      <c r="AO193" s="150"/>
      <c r="AP193" s="150"/>
      <c r="AQ193" s="151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  <c r="BF193" s="122"/>
    </row>
    <row r="194" spans="13:58" hidden="1"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50"/>
      <c r="AJ194" s="152">
        <v>0.21</v>
      </c>
      <c r="AK194" s="150"/>
      <c r="AL194" s="150"/>
      <c r="AM194" s="150"/>
      <c r="AN194" s="150"/>
      <c r="AO194" s="150"/>
      <c r="AP194" s="150"/>
      <c r="AQ194" s="151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</row>
    <row r="195" spans="13:58" hidden="1"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50"/>
      <c r="AJ195" s="152">
        <v>0.22</v>
      </c>
      <c r="AK195" s="150"/>
      <c r="AL195" s="150"/>
      <c r="AM195" s="150"/>
      <c r="AN195" s="150"/>
      <c r="AO195" s="150"/>
      <c r="AP195" s="150"/>
      <c r="AQ195" s="151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</row>
    <row r="196" spans="13:58" hidden="1"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50"/>
      <c r="AJ196" s="152">
        <v>0.23</v>
      </c>
      <c r="AK196" s="150"/>
      <c r="AL196" s="150"/>
      <c r="AM196" s="150"/>
      <c r="AN196" s="150"/>
      <c r="AO196" s="150"/>
      <c r="AP196" s="150"/>
      <c r="AQ196" s="151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</row>
    <row r="197" spans="13:58" hidden="1"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50"/>
      <c r="AJ197" s="152">
        <v>0.24</v>
      </c>
      <c r="AK197" s="150"/>
      <c r="AL197" s="150"/>
      <c r="AM197" s="150"/>
      <c r="AN197" s="150"/>
      <c r="AO197" s="150"/>
      <c r="AP197" s="150"/>
      <c r="AQ197" s="151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</row>
    <row r="198" spans="13:58" hidden="1"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50"/>
      <c r="AJ198" s="152">
        <v>0.25</v>
      </c>
      <c r="AK198" s="150"/>
      <c r="AL198" s="150"/>
      <c r="AM198" s="150"/>
      <c r="AN198" s="150"/>
      <c r="AO198" s="150"/>
      <c r="AP198" s="150"/>
      <c r="AQ198" s="151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</row>
    <row r="199" spans="13:58" hidden="1"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50"/>
      <c r="AJ199" s="152">
        <v>0.26</v>
      </c>
      <c r="AK199" s="150"/>
      <c r="AL199" s="150"/>
      <c r="AM199" s="150"/>
      <c r="AN199" s="150"/>
      <c r="AO199" s="150"/>
      <c r="AP199" s="150"/>
      <c r="AQ199" s="151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</row>
    <row r="200" spans="13:58" hidden="1"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50"/>
      <c r="AJ200" s="152">
        <v>0.27</v>
      </c>
      <c r="AK200" s="150"/>
      <c r="AL200" s="150"/>
      <c r="AM200" s="150"/>
      <c r="AN200" s="150"/>
      <c r="AO200" s="150"/>
      <c r="AP200" s="150"/>
      <c r="AQ200" s="151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</row>
    <row r="201" spans="13:58" hidden="1"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50"/>
      <c r="AJ201" s="152">
        <v>0.28000000000000003</v>
      </c>
      <c r="AK201" s="150"/>
      <c r="AL201" s="150"/>
      <c r="AM201" s="150"/>
      <c r="AN201" s="150"/>
      <c r="AO201" s="150"/>
      <c r="AP201" s="150"/>
      <c r="AQ201" s="151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</row>
    <row r="202" spans="13:58" hidden="1"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50"/>
      <c r="AJ202" s="152">
        <v>0.28999999999999998</v>
      </c>
      <c r="AK202" s="150"/>
      <c r="AL202" s="150"/>
      <c r="AM202" s="150"/>
      <c r="AN202" s="150"/>
      <c r="AO202" s="150"/>
      <c r="AP202" s="150"/>
      <c r="AQ202" s="151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</row>
    <row r="203" spans="13:58" hidden="1"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50"/>
      <c r="AJ203" s="152">
        <v>0.3</v>
      </c>
      <c r="AK203" s="150"/>
      <c r="AL203" s="150"/>
      <c r="AM203" s="150"/>
      <c r="AN203" s="150"/>
      <c r="AO203" s="150"/>
      <c r="AP203" s="150"/>
      <c r="AQ203" s="151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</row>
    <row r="204" spans="13:58" hidden="1"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50"/>
      <c r="AJ204" s="152">
        <v>0.31</v>
      </c>
      <c r="AK204" s="150"/>
      <c r="AL204" s="150"/>
      <c r="AM204" s="150"/>
      <c r="AN204" s="150"/>
      <c r="AO204" s="150"/>
      <c r="AP204" s="150"/>
      <c r="AQ204" s="151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</row>
    <row r="205" spans="13:58" hidden="1"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50"/>
      <c r="AJ205" s="152">
        <v>0.32</v>
      </c>
      <c r="AK205" s="150"/>
      <c r="AL205" s="150"/>
      <c r="AM205" s="150"/>
      <c r="AN205" s="150"/>
      <c r="AO205" s="150"/>
      <c r="AP205" s="150"/>
      <c r="AQ205" s="151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22"/>
      <c r="BE205" s="122"/>
      <c r="BF205" s="122"/>
    </row>
    <row r="206" spans="13:58" hidden="1"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50"/>
      <c r="AJ206" s="152">
        <v>0.33</v>
      </c>
      <c r="AK206" s="150"/>
      <c r="AL206" s="150"/>
      <c r="AM206" s="150"/>
      <c r="AN206" s="150"/>
      <c r="AO206" s="150"/>
      <c r="AP206" s="150"/>
      <c r="AQ206" s="151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22"/>
      <c r="BE206" s="122"/>
      <c r="BF206" s="122"/>
    </row>
    <row r="207" spans="13:58" hidden="1"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50"/>
      <c r="AJ207" s="152">
        <v>0.34</v>
      </c>
      <c r="AK207" s="150"/>
      <c r="AL207" s="150"/>
      <c r="AM207" s="150"/>
      <c r="AN207" s="150"/>
      <c r="AO207" s="150"/>
      <c r="AP207" s="150"/>
      <c r="AQ207" s="15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22"/>
      <c r="BE207" s="122"/>
      <c r="BF207" s="122"/>
    </row>
    <row r="208" spans="13:58" hidden="1"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50"/>
      <c r="AJ208" s="152">
        <v>0.35</v>
      </c>
      <c r="AK208" s="150"/>
      <c r="AL208" s="150"/>
      <c r="AM208" s="150"/>
      <c r="AN208" s="150"/>
      <c r="AO208" s="150"/>
      <c r="AP208" s="150"/>
      <c r="AQ208" s="151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22"/>
      <c r="BE208" s="122"/>
      <c r="BF208" s="122"/>
    </row>
    <row r="209" spans="13:58" hidden="1"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50"/>
      <c r="AJ209" s="152">
        <v>0.36</v>
      </c>
      <c r="AK209" s="150"/>
      <c r="AL209" s="150"/>
      <c r="AM209" s="150"/>
      <c r="AN209" s="150"/>
      <c r="AO209" s="150"/>
      <c r="AP209" s="150"/>
      <c r="AQ209" s="151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  <c r="BF209" s="122"/>
    </row>
    <row r="210" spans="13:58" hidden="1"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50"/>
      <c r="AJ210" s="152">
        <v>0.37</v>
      </c>
      <c r="AK210" s="150"/>
      <c r="AL210" s="150"/>
      <c r="AM210" s="150"/>
      <c r="AN210" s="150"/>
      <c r="AO210" s="150"/>
      <c r="AP210" s="150"/>
      <c r="AQ210" s="151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22"/>
      <c r="BE210" s="122"/>
      <c r="BF210" s="122"/>
    </row>
    <row r="211" spans="13:58" hidden="1"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50"/>
      <c r="AJ211" s="152">
        <v>0.38</v>
      </c>
      <c r="AK211" s="150"/>
      <c r="AL211" s="150"/>
      <c r="AM211" s="150"/>
      <c r="AN211" s="150"/>
      <c r="AO211" s="150"/>
      <c r="AP211" s="150"/>
      <c r="AQ211" s="151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22"/>
      <c r="BE211" s="122"/>
      <c r="BF211" s="122"/>
    </row>
    <row r="212" spans="13:58" hidden="1"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50"/>
      <c r="AJ212" s="152">
        <v>0.39</v>
      </c>
      <c r="AK212" s="150"/>
      <c r="AL212" s="150"/>
      <c r="AM212" s="150"/>
      <c r="AN212" s="150"/>
      <c r="AO212" s="150"/>
      <c r="AP212" s="150"/>
      <c r="AQ212" s="151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22"/>
      <c r="BE212" s="122"/>
      <c r="BF212" s="122"/>
    </row>
    <row r="213" spans="13:58" hidden="1"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50"/>
      <c r="AJ213" s="152">
        <v>0.4</v>
      </c>
      <c r="AK213" s="150"/>
      <c r="AL213" s="150"/>
      <c r="AM213" s="150"/>
      <c r="AN213" s="150"/>
      <c r="AO213" s="150"/>
      <c r="AP213" s="150"/>
      <c r="AQ213" s="151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22"/>
      <c r="BE213" s="122"/>
      <c r="BF213" s="122"/>
    </row>
    <row r="214" spans="13:58" hidden="1"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50"/>
      <c r="AJ214" s="152">
        <v>0.41</v>
      </c>
      <c r="AK214" s="150"/>
      <c r="AL214" s="150"/>
      <c r="AM214" s="150"/>
      <c r="AN214" s="150"/>
      <c r="AO214" s="150"/>
      <c r="AP214" s="150"/>
      <c r="AQ214" s="151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22"/>
      <c r="BE214" s="122"/>
      <c r="BF214" s="122"/>
    </row>
    <row r="215" spans="13:58" hidden="1"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50"/>
      <c r="AJ215" s="152">
        <v>0.42</v>
      </c>
      <c r="AK215" s="150"/>
      <c r="AL215" s="150"/>
      <c r="AM215" s="150"/>
      <c r="AN215" s="150"/>
      <c r="AO215" s="150"/>
      <c r="AP215" s="150"/>
      <c r="AQ215" s="151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22"/>
      <c r="BE215" s="122"/>
      <c r="BF215" s="122"/>
    </row>
    <row r="216" spans="13:58" hidden="1"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50"/>
      <c r="AJ216" s="152">
        <v>0.43</v>
      </c>
      <c r="AK216" s="150"/>
      <c r="AL216" s="150"/>
      <c r="AM216" s="150"/>
      <c r="AN216" s="150"/>
      <c r="AO216" s="150"/>
      <c r="AP216" s="150"/>
      <c r="AQ216" s="151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22"/>
      <c r="BE216" s="122"/>
      <c r="BF216" s="122"/>
    </row>
    <row r="217" spans="13:58" hidden="1"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50"/>
      <c r="AJ217" s="152">
        <v>0.44</v>
      </c>
      <c r="AK217" s="150"/>
      <c r="AL217" s="150"/>
      <c r="AM217" s="150"/>
      <c r="AN217" s="150"/>
      <c r="AO217" s="150"/>
      <c r="AP217" s="150"/>
      <c r="AQ217" s="151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22"/>
      <c r="BE217" s="122"/>
      <c r="BF217" s="122"/>
    </row>
    <row r="218" spans="13:58" hidden="1"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50"/>
      <c r="AJ218" s="152">
        <v>0.45</v>
      </c>
      <c r="AK218" s="150"/>
      <c r="AL218" s="150"/>
      <c r="AM218" s="150"/>
      <c r="AN218" s="150"/>
      <c r="AO218" s="150"/>
      <c r="AP218" s="150"/>
      <c r="AQ218" s="151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22"/>
      <c r="BE218" s="122"/>
      <c r="BF218" s="122"/>
    </row>
    <row r="219" spans="13:58" hidden="1"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50"/>
      <c r="AJ219" s="152">
        <v>0.46</v>
      </c>
      <c r="AK219" s="150"/>
      <c r="AL219" s="150"/>
      <c r="AM219" s="150"/>
      <c r="AN219" s="150"/>
      <c r="AO219" s="150"/>
      <c r="AP219" s="150"/>
      <c r="AQ219" s="151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22"/>
      <c r="BE219" s="122"/>
      <c r="BF219" s="122"/>
    </row>
    <row r="220" spans="13:58" hidden="1"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50"/>
      <c r="AJ220" s="152">
        <v>0.47</v>
      </c>
      <c r="AK220" s="150"/>
      <c r="AL220" s="150"/>
      <c r="AM220" s="150"/>
      <c r="AN220" s="150"/>
      <c r="AO220" s="150"/>
      <c r="AP220" s="150"/>
      <c r="AQ220" s="151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22"/>
      <c r="BE220" s="122"/>
      <c r="BF220" s="122"/>
    </row>
    <row r="221" spans="13:58" hidden="1"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50"/>
      <c r="AJ221" s="152">
        <v>0.48</v>
      </c>
      <c r="AK221" s="150"/>
      <c r="AL221" s="150"/>
      <c r="AM221" s="150"/>
      <c r="AN221" s="150"/>
      <c r="AO221" s="150"/>
      <c r="AP221" s="150"/>
      <c r="AQ221" s="151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22"/>
      <c r="BE221" s="122"/>
      <c r="BF221" s="122"/>
    </row>
    <row r="222" spans="13:58" hidden="1"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50"/>
      <c r="AJ222" s="152">
        <v>0.49</v>
      </c>
      <c r="AK222" s="150"/>
      <c r="AL222" s="150"/>
      <c r="AM222" s="150"/>
      <c r="AN222" s="150"/>
      <c r="AO222" s="150"/>
      <c r="AP222" s="150"/>
      <c r="AQ222" s="151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22"/>
      <c r="BE222" s="122"/>
      <c r="BF222" s="122"/>
    </row>
    <row r="223" spans="13:58" hidden="1"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50"/>
      <c r="AJ223" s="152">
        <v>0.5</v>
      </c>
      <c r="AK223" s="150"/>
      <c r="AL223" s="150"/>
      <c r="AM223" s="150"/>
      <c r="AN223" s="150"/>
      <c r="AO223" s="150"/>
      <c r="AP223" s="150"/>
      <c r="AQ223" s="151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22"/>
      <c r="BE223" s="122"/>
      <c r="BF223" s="122"/>
    </row>
    <row r="224" spans="13:58" hidden="1"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50"/>
      <c r="AJ224" s="152">
        <v>0.51</v>
      </c>
      <c r="AK224" s="150"/>
      <c r="AL224" s="150"/>
      <c r="AM224" s="150"/>
      <c r="AN224" s="150"/>
      <c r="AO224" s="150"/>
      <c r="AP224" s="150"/>
      <c r="AQ224" s="151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  <c r="BF224" s="122"/>
    </row>
    <row r="225" spans="13:58" hidden="1"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50"/>
      <c r="AJ225" s="152">
        <v>0.52</v>
      </c>
      <c r="AK225" s="150"/>
      <c r="AL225" s="150"/>
      <c r="AM225" s="150"/>
      <c r="AN225" s="150"/>
      <c r="AO225" s="150"/>
      <c r="AP225" s="150"/>
      <c r="AQ225" s="151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22"/>
      <c r="BF225" s="122"/>
    </row>
    <row r="226" spans="13:58" hidden="1"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50"/>
      <c r="AJ226" s="152">
        <v>0.53</v>
      </c>
      <c r="AK226" s="150"/>
      <c r="AL226" s="150"/>
      <c r="AM226" s="150"/>
      <c r="AN226" s="150"/>
      <c r="AO226" s="150"/>
      <c r="AP226" s="150"/>
      <c r="AQ226" s="151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22"/>
      <c r="BE226" s="122"/>
      <c r="BF226" s="122"/>
    </row>
    <row r="227" spans="13:58" hidden="1"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50"/>
      <c r="AJ227" s="152">
        <v>0.54</v>
      </c>
      <c r="AK227" s="150"/>
      <c r="AL227" s="150"/>
      <c r="AM227" s="150"/>
      <c r="AN227" s="150"/>
      <c r="AO227" s="150"/>
      <c r="AP227" s="150"/>
      <c r="AQ227" s="151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2"/>
      <c r="BD227" s="122"/>
      <c r="BE227" s="122"/>
      <c r="BF227" s="122"/>
    </row>
    <row r="228" spans="13:58" hidden="1"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50"/>
      <c r="AJ228" s="152">
        <v>0.55000000000000004</v>
      </c>
      <c r="AK228" s="150"/>
      <c r="AL228" s="150"/>
      <c r="AM228" s="150"/>
      <c r="AN228" s="150"/>
      <c r="AO228" s="150"/>
      <c r="AP228" s="150"/>
      <c r="AQ228" s="151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2"/>
      <c r="BD228" s="122"/>
      <c r="BE228" s="122"/>
      <c r="BF228" s="122"/>
    </row>
    <row r="229" spans="13:58" hidden="1"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50"/>
      <c r="AJ229" s="152">
        <v>0.56000000000000005</v>
      </c>
      <c r="AK229" s="150"/>
      <c r="AL229" s="150"/>
      <c r="AM229" s="150"/>
      <c r="AN229" s="150"/>
      <c r="AO229" s="150"/>
      <c r="AP229" s="150"/>
      <c r="AQ229" s="151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  <c r="BF229" s="122"/>
    </row>
    <row r="230" spans="13:58" hidden="1"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50"/>
      <c r="AJ230" s="152">
        <v>0.56999999999999995</v>
      </c>
      <c r="AK230" s="150"/>
      <c r="AL230" s="150"/>
      <c r="AM230" s="150"/>
      <c r="AN230" s="150"/>
      <c r="AO230" s="150"/>
      <c r="AP230" s="150"/>
      <c r="AQ230" s="151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2"/>
      <c r="BD230" s="122"/>
      <c r="BE230" s="122"/>
      <c r="BF230" s="122"/>
    </row>
    <row r="231" spans="13:58" hidden="1"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50"/>
      <c r="AJ231" s="152">
        <v>0.57999999999999996</v>
      </c>
      <c r="AK231" s="150"/>
      <c r="AL231" s="150"/>
      <c r="AM231" s="150"/>
      <c r="AN231" s="150"/>
      <c r="AO231" s="150"/>
      <c r="AP231" s="150"/>
      <c r="AQ231" s="151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</row>
    <row r="232" spans="13:58" hidden="1"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50"/>
      <c r="AJ232" s="152">
        <v>0.59</v>
      </c>
      <c r="AK232" s="150"/>
      <c r="AL232" s="150"/>
      <c r="AM232" s="150"/>
      <c r="AN232" s="150"/>
      <c r="AO232" s="150"/>
      <c r="AP232" s="150"/>
      <c r="AQ232" s="151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  <c r="BF232" s="122"/>
    </row>
    <row r="233" spans="13:58" hidden="1"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50"/>
      <c r="AJ233" s="152">
        <v>0.6</v>
      </c>
      <c r="AK233" s="150"/>
      <c r="AL233" s="150"/>
      <c r="AM233" s="150"/>
      <c r="AN233" s="150"/>
      <c r="AO233" s="150"/>
      <c r="AP233" s="150"/>
      <c r="AQ233" s="151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</row>
    <row r="234" spans="13:58" hidden="1"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50"/>
      <c r="AJ234" s="152">
        <v>0.61</v>
      </c>
      <c r="AK234" s="150"/>
      <c r="AL234" s="150"/>
      <c r="AM234" s="150"/>
      <c r="AN234" s="150"/>
      <c r="AO234" s="150"/>
      <c r="AP234" s="150"/>
      <c r="AQ234" s="151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  <c r="BF234" s="122"/>
    </row>
    <row r="235" spans="13:58" hidden="1"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50"/>
      <c r="AJ235" s="152">
        <v>0.62</v>
      </c>
      <c r="AK235" s="150"/>
      <c r="AL235" s="150"/>
      <c r="AM235" s="150"/>
      <c r="AN235" s="150"/>
      <c r="AO235" s="150"/>
      <c r="AP235" s="150"/>
      <c r="AQ235" s="151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</row>
    <row r="236" spans="13:58" hidden="1"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50"/>
      <c r="AJ236" s="152">
        <v>0.63</v>
      </c>
      <c r="AK236" s="150"/>
      <c r="AL236" s="150"/>
      <c r="AM236" s="150"/>
      <c r="AN236" s="150"/>
      <c r="AO236" s="150"/>
      <c r="AP236" s="150"/>
      <c r="AQ236" s="151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  <c r="BF236" s="122"/>
    </row>
    <row r="237" spans="13:58" hidden="1"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50"/>
      <c r="AJ237" s="152">
        <v>0.64</v>
      </c>
      <c r="AK237" s="150"/>
      <c r="AL237" s="150"/>
      <c r="AM237" s="150"/>
      <c r="AN237" s="150"/>
      <c r="AO237" s="150"/>
      <c r="AP237" s="150"/>
      <c r="AQ237" s="151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  <c r="BF237" s="122"/>
    </row>
    <row r="238" spans="13:58" hidden="1"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50"/>
      <c r="AJ238" s="152">
        <v>0.65</v>
      </c>
      <c r="AK238" s="150"/>
      <c r="AL238" s="150"/>
      <c r="AM238" s="150"/>
      <c r="AN238" s="150"/>
      <c r="AO238" s="150"/>
      <c r="AP238" s="150"/>
      <c r="AQ238" s="151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  <c r="BF238" s="122"/>
    </row>
    <row r="239" spans="13:58" hidden="1"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50"/>
      <c r="AJ239" s="152">
        <v>0.66</v>
      </c>
      <c r="AK239" s="150"/>
      <c r="AL239" s="150"/>
      <c r="AM239" s="150"/>
      <c r="AN239" s="150"/>
      <c r="AO239" s="150"/>
      <c r="AP239" s="150"/>
      <c r="AQ239" s="151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22"/>
      <c r="BF239" s="122"/>
    </row>
    <row r="240" spans="13:58" hidden="1"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50"/>
      <c r="AJ240" s="152">
        <v>0.67</v>
      </c>
      <c r="AK240" s="150"/>
      <c r="AL240" s="150"/>
      <c r="AM240" s="150"/>
      <c r="AN240" s="150"/>
      <c r="AO240" s="150"/>
      <c r="AP240" s="150"/>
      <c r="AQ240" s="151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2"/>
      <c r="BD240" s="122"/>
      <c r="BE240" s="122"/>
      <c r="BF240" s="122"/>
    </row>
    <row r="241" spans="13:58" hidden="1"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50"/>
      <c r="AJ241" s="152">
        <v>0.68</v>
      </c>
      <c r="AK241" s="150"/>
      <c r="AL241" s="150"/>
      <c r="AM241" s="150"/>
      <c r="AN241" s="150"/>
      <c r="AO241" s="150"/>
      <c r="AP241" s="150"/>
      <c r="AQ241" s="151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2"/>
      <c r="BD241" s="122"/>
      <c r="BE241" s="122"/>
      <c r="BF241" s="122"/>
    </row>
    <row r="242" spans="13:58" hidden="1"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50"/>
      <c r="AJ242" s="152">
        <v>0.69</v>
      </c>
      <c r="AK242" s="150"/>
      <c r="AL242" s="150"/>
      <c r="AM242" s="150"/>
      <c r="AN242" s="150"/>
      <c r="AO242" s="150"/>
      <c r="AP242" s="150"/>
      <c r="AQ242" s="151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  <c r="BF242" s="122"/>
    </row>
    <row r="243" spans="13:58" hidden="1"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50"/>
      <c r="AJ243" s="152">
        <v>0.7</v>
      </c>
      <c r="AK243" s="150"/>
      <c r="AL243" s="150"/>
      <c r="AM243" s="150"/>
      <c r="AN243" s="150"/>
      <c r="AO243" s="150"/>
      <c r="AP243" s="150"/>
      <c r="AQ243" s="151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  <c r="BF243" s="122"/>
    </row>
    <row r="244" spans="13:58" hidden="1"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50"/>
      <c r="AJ244" s="152">
        <v>0.71</v>
      </c>
      <c r="AK244" s="150"/>
      <c r="AL244" s="150"/>
      <c r="AM244" s="150"/>
      <c r="AN244" s="150"/>
      <c r="AO244" s="150"/>
      <c r="AP244" s="150"/>
      <c r="AQ244" s="151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</row>
    <row r="245" spans="13:58" hidden="1"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50"/>
      <c r="AJ245" s="152">
        <v>0.72</v>
      </c>
      <c r="AK245" s="150"/>
      <c r="AL245" s="150"/>
      <c r="AM245" s="150"/>
      <c r="AN245" s="150"/>
      <c r="AO245" s="150"/>
      <c r="AP245" s="150"/>
      <c r="AQ245" s="151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  <c r="BF245" s="122"/>
    </row>
    <row r="246" spans="13:58" hidden="1"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50"/>
      <c r="AJ246" s="152">
        <v>0.73</v>
      </c>
      <c r="AK246" s="150"/>
      <c r="AL246" s="150"/>
      <c r="AM246" s="150"/>
      <c r="AN246" s="150"/>
      <c r="AO246" s="150"/>
      <c r="AP246" s="150"/>
      <c r="AQ246" s="151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</row>
    <row r="247" spans="13:58" hidden="1"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50"/>
      <c r="AJ247" s="152">
        <v>0.74</v>
      </c>
      <c r="AK247" s="150"/>
      <c r="AL247" s="150"/>
      <c r="AM247" s="150"/>
      <c r="AN247" s="150"/>
      <c r="AO247" s="150"/>
      <c r="AP247" s="150"/>
      <c r="AQ247" s="151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  <c r="BF247" s="122"/>
    </row>
    <row r="248" spans="13:58" hidden="1"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50"/>
      <c r="AJ248" s="152">
        <v>0.75</v>
      </c>
      <c r="AK248" s="150"/>
      <c r="AL248" s="150"/>
      <c r="AM248" s="150"/>
      <c r="AN248" s="150"/>
      <c r="AO248" s="150"/>
      <c r="AP248" s="150"/>
      <c r="AQ248" s="151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  <c r="BF248" s="122"/>
    </row>
    <row r="249" spans="13:58" hidden="1"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50"/>
      <c r="AJ249" s="152">
        <v>0.76</v>
      </c>
      <c r="AK249" s="150"/>
      <c r="AL249" s="150"/>
      <c r="AM249" s="150"/>
      <c r="AN249" s="150"/>
      <c r="AO249" s="150"/>
      <c r="AP249" s="150"/>
      <c r="AQ249" s="151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2"/>
      <c r="BD249" s="122"/>
      <c r="BE249" s="122"/>
      <c r="BF249" s="122"/>
    </row>
    <row r="250" spans="13:58" hidden="1"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50"/>
      <c r="AJ250" s="152">
        <v>0.77</v>
      </c>
      <c r="AK250" s="150"/>
      <c r="AL250" s="150"/>
      <c r="AM250" s="150"/>
      <c r="AN250" s="150"/>
      <c r="AO250" s="150"/>
      <c r="AP250" s="150"/>
      <c r="AQ250" s="151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2"/>
      <c r="BD250" s="122"/>
      <c r="BE250" s="122"/>
      <c r="BF250" s="122"/>
    </row>
    <row r="251" spans="13:58" hidden="1"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50"/>
      <c r="AJ251" s="152">
        <v>0.78</v>
      </c>
      <c r="AK251" s="150"/>
      <c r="AL251" s="150"/>
      <c r="AM251" s="150"/>
      <c r="AN251" s="150"/>
      <c r="AO251" s="150"/>
      <c r="AP251" s="150"/>
      <c r="AQ251" s="151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  <c r="BF251" s="122"/>
    </row>
    <row r="252" spans="13:58" hidden="1"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50"/>
      <c r="AJ252" s="152">
        <v>0.79</v>
      </c>
      <c r="AK252" s="150"/>
      <c r="AL252" s="150"/>
      <c r="AM252" s="150"/>
      <c r="AN252" s="150"/>
      <c r="AO252" s="150"/>
      <c r="AP252" s="150"/>
      <c r="AQ252" s="151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  <c r="BF252" s="122"/>
    </row>
    <row r="253" spans="13:58" hidden="1"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50"/>
      <c r="AJ253" s="152">
        <v>0.8</v>
      </c>
      <c r="AK253" s="150"/>
      <c r="AL253" s="150"/>
      <c r="AM253" s="150"/>
      <c r="AN253" s="150"/>
      <c r="AO253" s="150"/>
      <c r="AP253" s="150"/>
      <c r="AQ253" s="151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  <c r="BF253" s="122"/>
    </row>
    <row r="254" spans="13:58" hidden="1"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50"/>
      <c r="AJ254" s="152">
        <v>0.81</v>
      </c>
      <c r="AK254" s="150"/>
      <c r="AL254" s="150"/>
      <c r="AM254" s="150"/>
      <c r="AN254" s="150"/>
      <c r="AO254" s="150"/>
      <c r="AP254" s="150"/>
      <c r="AQ254" s="151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</row>
    <row r="255" spans="13:58" hidden="1"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50"/>
      <c r="AJ255" s="152">
        <v>0.82</v>
      </c>
      <c r="AK255" s="150"/>
      <c r="AL255" s="150"/>
      <c r="AM255" s="150"/>
      <c r="AN255" s="150"/>
      <c r="AO255" s="150"/>
      <c r="AP255" s="150"/>
      <c r="AQ255" s="151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  <c r="BF255" s="122"/>
    </row>
    <row r="256" spans="13:58" hidden="1"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50"/>
      <c r="AJ256" s="152">
        <v>0.83</v>
      </c>
      <c r="AK256" s="150"/>
      <c r="AL256" s="150"/>
      <c r="AM256" s="150"/>
      <c r="AN256" s="150"/>
      <c r="AO256" s="150"/>
      <c r="AP256" s="150"/>
      <c r="AQ256" s="151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2"/>
      <c r="BD256" s="122"/>
      <c r="BE256" s="122"/>
      <c r="BF256" s="122"/>
    </row>
    <row r="257" spans="13:58" hidden="1"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50"/>
      <c r="AJ257" s="152">
        <v>0.84</v>
      </c>
      <c r="AK257" s="150"/>
      <c r="AL257" s="150"/>
      <c r="AM257" s="150"/>
      <c r="AN257" s="150"/>
      <c r="AO257" s="150"/>
      <c r="AP257" s="150"/>
      <c r="AQ257" s="151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  <c r="BF257" s="122"/>
    </row>
    <row r="258" spans="13:58" hidden="1"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50"/>
      <c r="AJ258" s="152">
        <v>0.85</v>
      </c>
      <c r="AK258" s="150"/>
      <c r="AL258" s="150"/>
      <c r="AM258" s="150"/>
      <c r="AN258" s="150"/>
      <c r="AO258" s="150"/>
      <c r="AP258" s="150"/>
      <c r="AQ258" s="151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2"/>
      <c r="BD258" s="122"/>
      <c r="BE258" s="122"/>
      <c r="BF258" s="122"/>
    </row>
    <row r="259" spans="13:58" hidden="1"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50"/>
      <c r="AJ259" s="152">
        <v>0.86</v>
      </c>
      <c r="AK259" s="150"/>
      <c r="AL259" s="150"/>
      <c r="AM259" s="150"/>
      <c r="AN259" s="150"/>
      <c r="AO259" s="150"/>
      <c r="AP259" s="150"/>
      <c r="AQ259" s="151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  <c r="BF259" s="122"/>
    </row>
    <row r="260" spans="13:58" hidden="1"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50"/>
      <c r="AJ260" s="152">
        <v>0.87</v>
      </c>
      <c r="AK260" s="150"/>
      <c r="AL260" s="150"/>
      <c r="AM260" s="150"/>
      <c r="AN260" s="150"/>
      <c r="AO260" s="150"/>
      <c r="AP260" s="150"/>
      <c r="AQ260" s="151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2"/>
      <c r="BD260" s="122"/>
      <c r="BE260" s="122"/>
      <c r="BF260" s="122"/>
    </row>
    <row r="261" spans="13:58" hidden="1"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50"/>
      <c r="AJ261" s="152">
        <v>0.88</v>
      </c>
      <c r="AK261" s="150"/>
      <c r="AL261" s="150"/>
      <c r="AM261" s="150"/>
      <c r="AN261" s="150"/>
      <c r="AO261" s="150"/>
      <c r="AP261" s="150"/>
      <c r="AQ261" s="151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2"/>
      <c r="BD261" s="122"/>
      <c r="BE261" s="122"/>
      <c r="BF261" s="122"/>
    </row>
    <row r="262" spans="13:58" hidden="1"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50"/>
      <c r="AJ262" s="152">
        <v>0.89</v>
      </c>
      <c r="AK262" s="150"/>
      <c r="AL262" s="150"/>
      <c r="AM262" s="150"/>
      <c r="AN262" s="150"/>
      <c r="AO262" s="150"/>
      <c r="AP262" s="150"/>
      <c r="AQ262" s="151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  <c r="BF262" s="122"/>
    </row>
    <row r="263" spans="13:58" hidden="1"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50"/>
      <c r="AJ263" s="152">
        <v>0.9</v>
      </c>
      <c r="AK263" s="150"/>
      <c r="AL263" s="150"/>
      <c r="AM263" s="150"/>
      <c r="AN263" s="150"/>
      <c r="AO263" s="150"/>
      <c r="AP263" s="150"/>
      <c r="AQ263" s="151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2"/>
      <c r="BD263" s="122"/>
      <c r="BE263" s="122"/>
      <c r="BF263" s="122"/>
    </row>
    <row r="264" spans="13:58" hidden="1"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50"/>
      <c r="AJ264" s="152">
        <v>0.91</v>
      </c>
      <c r="AK264" s="150"/>
      <c r="AL264" s="150"/>
      <c r="AM264" s="150"/>
      <c r="AN264" s="150"/>
      <c r="AO264" s="150"/>
      <c r="AP264" s="150"/>
      <c r="AQ264" s="151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2"/>
      <c r="BD264" s="122"/>
      <c r="BE264" s="122"/>
      <c r="BF264" s="122"/>
    </row>
    <row r="265" spans="13:58" hidden="1"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50"/>
      <c r="AJ265" s="152">
        <v>0.92</v>
      </c>
      <c r="AK265" s="150"/>
      <c r="AL265" s="150"/>
      <c r="AM265" s="150"/>
      <c r="AN265" s="150"/>
      <c r="AO265" s="150"/>
      <c r="AP265" s="150"/>
      <c r="AQ265" s="151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2"/>
      <c r="BD265" s="122"/>
      <c r="BE265" s="122"/>
      <c r="BF265" s="122"/>
    </row>
    <row r="266" spans="13:58" hidden="1"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50"/>
      <c r="AJ266" s="152">
        <v>0.93</v>
      </c>
      <c r="AK266" s="150"/>
      <c r="AL266" s="150"/>
      <c r="AM266" s="150"/>
      <c r="AN266" s="150"/>
      <c r="AO266" s="150"/>
      <c r="AP266" s="150"/>
      <c r="AQ266" s="151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2"/>
      <c r="BD266" s="122"/>
      <c r="BE266" s="122"/>
      <c r="BF266" s="122"/>
    </row>
    <row r="267" spans="13:58" hidden="1"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50"/>
      <c r="AJ267" s="152">
        <v>0.94</v>
      </c>
      <c r="AK267" s="150"/>
      <c r="AL267" s="150"/>
      <c r="AM267" s="150"/>
      <c r="AN267" s="150"/>
      <c r="AO267" s="150"/>
      <c r="AP267" s="150"/>
      <c r="AQ267" s="151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2"/>
      <c r="BD267" s="122"/>
      <c r="BE267" s="122"/>
      <c r="BF267" s="122"/>
    </row>
    <row r="268" spans="13:58" hidden="1"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50"/>
      <c r="AJ268" s="152">
        <v>0.95</v>
      </c>
      <c r="AK268" s="150"/>
      <c r="AL268" s="150"/>
      <c r="AM268" s="150"/>
      <c r="AN268" s="150"/>
      <c r="AO268" s="150"/>
      <c r="AP268" s="150"/>
      <c r="AQ268" s="151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2"/>
      <c r="BD268" s="122"/>
      <c r="BE268" s="122"/>
      <c r="BF268" s="122"/>
    </row>
    <row r="269" spans="13:58" hidden="1"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50"/>
      <c r="AJ269" s="152">
        <v>0.96</v>
      </c>
      <c r="AK269" s="150"/>
      <c r="AL269" s="150"/>
      <c r="AM269" s="150"/>
      <c r="AN269" s="150"/>
      <c r="AO269" s="150"/>
      <c r="AP269" s="150"/>
      <c r="AQ269" s="151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  <c r="BF269" s="122"/>
    </row>
    <row r="270" spans="13:58" hidden="1"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50"/>
      <c r="AJ270" s="152">
        <v>0.97</v>
      </c>
      <c r="AK270" s="150"/>
      <c r="AL270" s="150"/>
      <c r="AM270" s="150"/>
      <c r="AN270" s="150"/>
      <c r="AO270" s="150"/>
      <c r="AP270" s="150"/>
      <c r="AQ270" s="151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2"/>
      <c r="BD270" s="122"/>
      <c r="BE270" s="122"/>
      <c r="BF270" s="122"/>
    </row>
    <row r="271" spans="13:58" hidden="1"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50"/>
      <c r="AJ271" s="152">
        <v>0.98</v>
      </c>
      <c r="AK271" s="150"/>
      <c r="AL271" s="150"/>
      <c r="AM271" s="150"/>
      <c r="AN271" s="150"/>
      <c r="AO271" s="150"/>
      <c r="AP271" s="150"/>
      <c r="AQ271" s="151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  <c r="BF271" s="122"/>
    </row>
    <row r="272" spans="13:58" hidden="1"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50"/>
      <c r="AJ272" s="152">
        <v>0.99</v>
      </c>
      <c r="AK272" s="150"/>
      <c r="AL272" s="150"/>
      <c r="AM272" s="150"/>
      <c r="AN272" s="150"/>
      <c r="AO272" s="150"/>
      <c r="AP272" s="150"/>
      <c r="AQ272" s="151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2"/>
      <c r="BD272" s="122"/>
      <c r="BE272" s="122"/>
      <c r="BF272" s="122"/>
    </row>
    <row r="273" spans="13:58" hidden="1"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50"/>
      <c r="AJ273" s="152">
        <v>1</v>
      </c>
      <c r="AK273" s="150"/>
      <c r="AL273" s="150"/>
      <c r="AM273" s="150"/>
      <c r="AN273" s="150"/>
      <c r="AO273" s="150"/>
      <c r="AP273" s="150"/>
      <c r="AQ273" s="151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  <c r="BF273" s="122"/>
    </row>
    <row r="274" spans="13:58" hidden="1"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70"/>
      <c r="AJ274" s="150"/>
      <c r="AK274" s="150"/>
      <c r="AL274" s="150"/>
      <c r="AM274" s="150"/>
      <c r="AN274" s="150"/>
      <c r="AO274" s="150"/>
      <c r="AP274" s="150"/>
      <c r="AQ274" s="151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2"/>
      <c r="BD274" s="122"/>
      <c r="BE274" s="122"/>
      <c r="BF274" s="122"/>
    </row>
    <row r="275" spans="13:58" hidden="1"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70"/>
      <c r="AJ275" s="150"/>
      <c r="AK275" s="150"/>
      <c r="AL275" s="150"/>
      <c r="AM275" s="150"/>
      <c r="AN275" s="150"/>
      <c r="AO275" s="150"/>
      <c r="AP275" s="150"/>
      <c r="AQ275" s="151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  <c r="BF275" s="122"/>
    </row>
    <row r="276" spans="13:58" hidden="1"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70"/>
      <c r="AJ276" s="150"/>
      <c r="AK276" s="150"/>
      <c r="AL276" s="150"/>
      <c r="AM276" s="150"/>
      <c r="AN276" s="150"/>
      <c r="AO276" s="150"/>
      <c r="AP276" s="150"/>
      <c r="AQ276" s="151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  <c r="BF276" s="122"/>
    </row>
    <row r="277" spans="13:58" hidden="1"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70"/>
      <c r="AJ277" s="150"/>
      <c r="AK277" s="150"/>
      <c r="AL277" s="150"/>
      <c r="AM277" s="150"/>
      <c r="AN277" s="150"/>
      <c r="AO277" s="150"/>
      <c r="AP277" s="150"/>
      <c r="AQ277" s="151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  <c r="BF277" s="122"/>
    </row>
    <row r="278" spans="13:58" hidden="1"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50"/>
      <c r="AJ278" s="150"/>
      <c r="AK278" s="150"/>
      <c r="AL278" s="150"/>
      <c r="AM278" s="150"/>
      <c r="AN278" s="150"/>
      <c r="AO278" s="150"/>
      <c r="AP278" s="150"/>
      <c r="AQ278" s="151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  <c r="BF278" s="122"/>
    </row>
    <row r="279" spans="13:58" hidden="1"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50"/>
      <c r="AJ279" s="150"/>
      <c r="AK279" s="150"/>
      <c r="AL279" s="150"/>
      <c r="AM279" s="150"/>
      <c r="AN279" s="150"/>
      <c r="AO279" s="150"/>
      <c r="AP279" s="150"/>
      <c r="AQ279" s="151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  <c r="BF279" s="122"/>
    </row>
    <row r="280" spans="13:58" hidden="1"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50"/>
      <c r="AJ280" s="150"/>
      <c r="AK280" s="150"/>
      <c r="AL280" s="150"/>
      <c r="AM280" s="150"/>
      <c r="AN280" s="150"/>
      <c r="AO280" s="150"/>
      <c r="AP280" s="150"/>
      <c r="AQ280" s="151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2"/>
      <c r="BD280" s="122"/>
      <c r="BE280" s="122"/>
      <c r="BF280" s="122"/>
    </row>
    <row r="281" spans="13:58" hidden="1"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50"/>
      <c r="AJ281" s="150"/>
      <c r="AK281" s="150"/>
      <c r="AL281" s="150"/>
      <c r="AM281" s="150"/>
      <c r="AN281" s="150"/>
      <c r="AO281" s="150"/>
      <c r="AP281" s="150"/>
      <c r="AQ281" s="151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2"/>
      <c r="BD281" s="122"/>
      <c r="BE281" s="122"/>
      <c r="BF281" s="122"/>
    </row>
    <row r="282" spans="13:58" hidden="1"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50"/>
      <c r="AJ282" s="150"/>
      <c r="AK282" s="150"/>
      <c r="AL282" s="150"/>
      <c r="AM282" s="150"/>
      <c r="AN282" s="150"/>
      <c r="AO282" s="150"/>
      <c r="AP282" s="150"/>
      <c r="AQ282" s="151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2"/>
      <c r="BD282" s="122"/>
      <c r="BE282" s="122"/>
      <c r="BF282" s="122"/>
    </row>
    <row r="283" spans="13:58" hidden="1"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50"/>
      <c r="AJ283" s="150"/>
      <c r="AK283" s="150"/>
      <c r="AL283" s="150"/>
      <c r="AM283" s="150"/>
      <c r="AN283" s="150"/>
      <c r="AO283" s="150"/>
      <c r="AP283" s="150"/>
      <c r="AQ283" s="151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2"/>
      <c r="BD283" s="122"/>
      <c r="BE283" s="122"/>
      <c r="BF283" s="122"/>
    </row>
    <row r="284" spans="13:58" hidden="1"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50"/>
      <c r="AJ284" s="150"/>
      <c r="AK284" s="150"/>
      <c r="AL284" s="150"/>
      <c r="AM284" s="150"/>
      <c r="AN284" s="150"/>
      <c r="AO284" s="150"/>
      <c r="AP284" s="150"/>
      <c r="AQ284" s="151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2"/>
      <c r="BD284" s="122"/>
      <c r="BE284" s="122"/>
      <c r="BF284" s="122"/>
    </row>
    <row r="285" spans="13:58" hidden="1"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50"/>
      <c r="AJ285" s="150"/>
      <c r="AK285" s="150"/>
      <c r="AL285" s="150"/>
      <c r="AM285" s="150"/>
      <c r="AN285" s="150"/>
      <c r="AO285" s="150"/>
      <c r="AP285" s="150"/>
      <c r="AQ285" s="151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2"/>
      <c r="BD285" s="122"/>
      <c r="BE285" s="122"/>
      <c r="BF285" s="122"/>
    </row>
    <row r="286" spans="13:58" hidden="1"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50"/>
      <c r="AJ286" s="150"/>
      <c r="AK286" s="150"/>
      <c r="AL286" s="150"/>
      <c r="AM286" s="150"/>
      <c r="AN286" s="150"/>
      <c r="AO286" s="150"/>
      <c r="AP286" s="150"/>
      <c r="AQ286" s="151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2"/>
      <c r="BD286" s="122"/>
      <c r="BE286" s="122"/>
      <c r="BF286" s="122"/>
    </row>
    <row r="287" spans="13:58" hidden="1"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50"/>
      <c r="AJ287" s="150"/>
      <c r="AK287" s="150"/>
      <c r="AL287" s="150"/>
      <c r="AM287" s="150"/>
      <c r="AN287" s="150"/>
      <c r="AO287" s="150"/>
      <c r="AP287" s="150"/>
      <c r="AQ287" s="151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2"/>
      <c r="BB287" s="122"/>
      <c r="BC287" s="122"/>
      <c r="BD287" s="122"/>
      <c r="BE287" s="122"/>
      <c r="BF287" s="122"/>
    </row>
    <row r="288" spans="13:58" hidden="1"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50"/>
      <c r="AJ288" s="150"/>
      <c r="AK288" s="150"/>
      <c r="AL288" s="150"/>
      <c r="AM288" s="150"/>
      <c r="AN288" s="150"/>
      <c r="AO288" s="150"/>
      <c r="AP288" s="150"/>
      <c r="AQ288" s="151"/>
      <c r="AR288" s="122"/>
      <c r="AS288" s="122"/>
      <c r="AT288" s="122"/>
      <c r="AU288" s="122"/>
      <c r="AV288" s="122"/>
      <c r="AW288" s="122"/>
      <c r="AX288" s="122"/>
      <c r="AY288" s="122"/>
      <c r="AZ288" s="122"/>
      <c r="BA288" s="122"/>
      <c r="BB288" s="122"/>
      <c r="BC288" s="122"/>
      <c r="BD288" s="122"/>
      <c r="BE288" s="122"/>
      <c r="BF288" s="122"/>
    </row>
    <row r="289" spans="13:58" hidden="1"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50"/>
      <c r="AJ289" s="150"/>
      <c r="AK289" s="150"/>
      <c r="AL289" s="150"/>
      <c r="AM289" s="150"/>
      <c r="AN289" s="150"/>
      <c r="AO289" s="150"/>
      <c r="AP289" s="150"/>
      <c r="AQ289" s="151"/>
      <c r="AR289" s="122"/>
      <c r="AS289" s="122"/>
      <c r="AT289" s="122"/>
      <c r="AU289" s="122"/>
      <c r="AV289" s="122"/>
      <c r="AW289" s="122"/>
      <c r="AX289" s="122"/>
      <c r="AY289" s="122"/>
      <c r="AZ289" s="122"/>
      <c r="BA289" s="122"/>
      <c r="BB289" s="122"/>
      <c r="BC289" s="122"/>
      <c r="BD289" s="122"/>
      <c r="BE289" s="122"/>
      <c r="BF289" s="122"/>
    </row>
    <row r="290" spans="13:58" hidden="1"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50"/>
      <c r="AJ290" s="150"/>
      <c r="AK290" s="150"/>
      <c r="AL290" s="150"/>
      <c r="AM290" s="150"/>
      <c r="AN290" s="150"/>
      <c r="AO290" s="150"/>
      <c r="AP290" s="150"/>
      <c r="AQ290" s="151"/>
      <c r="AR290" s="122"/>
      <c r="AS290" s="122"/>
      <c r="AT290" s="122"/>
      <c r="AU290" s="122"/>
      <c r="AV290" s="122"/>
      <c r="AW290" s="122"/>
      <c r="AX290" s="122"/>
      <c r="AY290" s="122"/>
      <c r="AZ290" s="122"/>
      <c r="BA290" s="122"/>
      <c r="BB290" s="122"/>
      <c r="BC290" s="122"/>
      <c r="BD290" s="122"/>
      <c r="BE290" s="122"/>
      <c r="BF290" s="122"/>
    </row>
    <row r="291" spans="13:58" hidden="1"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50"/>
      <c r="AJ291" s="150"/>
      <c r="AK291" s="150"/>
      <c r="AL291" s="150"/>
      <c r="AM291" s="150"/>
      <c r="AN291" s="150"/>
      <c r="AO291" s="150"/>
      <c r="AP291" s="150"/>
      <c r="AQ291" s="151"/>
      <c r="AR291" s="122"/>
      <c r="AS291" s="122"/>
      <c r="AT291" s="122"/>
      <c r="AU291" s="122"/>
      <c r="AV291" s="122"/>
      <c r="AW291" s="122"/>
      <c r="AX291" s="122"/>
      <c r="AY291" s="122"/>
      <c r="AZ291" s="122"/>
      <c r="BA291" s="122"/>
      <c r="BB291" s="122"/>
      <c r="BC291" s="122"/>
      <c r="BD291" s="122"/>
      <c r="BE291" s="122"/>
      <c r="BF291" s="122"/>
    </row>
    <row r="292" spans="13:58" hidden="1"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50"/>
      <c r="AJ292" s="150"/>
      <c r="AK292" s="150"/>
      <c r="AL292" s="150"/>
      <c r="AM292" s="150"/>
      <c r="AN292" s="150"/>
      <c r="AO292" s="150"/>
      <c r="AP292" s="150"/>
      <c r="AQ292" s="151"/>
      <c r="AR292" s="122"/>
      <c r="AS292" s="122"/>
      <c r="AT292" s="122"/>
      <c r="AU292" s="122"/>
      <c r="AV292" s="122"/>
      <c r="AW292" s="122"/>
      <c r="AX292" s="122"/>
      <c r="AY292" s="122"/>
      <c r="AZ292" s="122"/>
      <c r="BA292" s="122"/>
      <c r="BB292" s="122"/>
      <c r="BC292" s="122"/>
      <c r="BD292" s="122"/>
      <c r="BE292" s="122"/>
      <c r="BF292" s="122"/>
    </row>
    <row r="293" spans="13:58" hidden="1"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50"/>
      <c r="AJ293" s="150"/>
      <c r="AK293" s="150"/>
      <c r="AL293" s="150"/>
      <c r="AM293" s="150"/>
      <c r="AN293" s="150"/>
      <c r="AO293" s="150"/>
      <c r="AP293" s="150"/>
      <c r="AQ293" s="151"/>
      <c r="AR293" s="122"/>
      <c r="AS293" s="122"/>
      <c r="AT293" s="122"/>
      <c r="AU293" s="122"/>
      <c r="AV293" s="122"/>
      <c r="AW293" s="122"/>
      <c r="AX293" s="122"/>
      <c r="AY293" s="122"/>
      <c r="AZ293" s="122"/>
      <c r="BA293" s="122"/>
      <c r="BB293" s="122"/>
      <c r="BC293" s="122"/>
      <c r="BD293" s="122"/>
      <c r="BE293" s="122"/>
      <c r="BF293" s="122"/>
    </row>
    <row r="294" spans="13:58" hidden="1"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50"/>
      <c r="AJ294" s="150"/>
      <c r="AK294" s="150"/>
      <c r="AL294" s="150"/>
      <c r="AM294" s="150"/>
      <c r="AN294" s="150"/>
      <c r="AO294" s="150"/>
      <c r="AP294" s="150"/>
      <c r="AQ294" s="151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2"/>
      <c r="BD294" s="122"/>
      <c r="BE294" s="122"/>
      <c r="BF294" s="122"/>
    </row>
    <row r="295" spans="13:58" hidden="1"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50"/>
      <c r="AJ295" s="150"/>
      <c r="AK295" s="150"/>
      <c r="AL295" s="150"/>
      <c r="AM295" s="150"/>
      <c r="AN295" s="150"/>
      <c r="AO295" s="150"/>
      <c r="AP295" s="150"/>
      <c r="AQ295" s="151"/>
      <c r="AR295" s="122"/>
      <c r="AS295" s="122"/>
      <c r="AT295" s="122"/>
      <c r="AU295" s="122"/>
      <c r="AV295" s="122"/>
      <c r="AW295" s="122"/>
      <c r="AX295" s="122"/>
      <c r="AY295" s="122"/>
      <c r="AZ295" s="122"/>
      <c r="BA295" s="122"/>
      <c r="BB295" s="122"/>
      <c r="BC295" s="122"/>
      <c r="BD295" s="122"/>
      <c r="BE295" s="122"/>
      <c r="BF295" s="122"/>
    </row>
    <row r="296" spans="13:58" hidden="1"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50"/>
      <c r="AJ296" s="150"/>
      <c r="AK296" s="150"/>
      <c r="AL296" s="150"/>
      <c r="AM296" s="150"/>
      <c r="AN296" s="150"/>
      <c r="AO296" s="150"/>
      <c r="AP296" s="150"/>
      <c r="AQ296" s="151"/>
      <c r="AR296" s="122"/>
      <c r="AS296" s="122"/>
      <c r="AT296" s="122"/>
      <c r="AU296" s="122"/>
      <c r="AV296" s="122"/>
      <c r="AW296" s="122"/>
      <c r="AX296" s="122"/>
      <c r="AY296" s="122"/>
      <c r="AZ296" s="122"/>
      <c r="BA296" s="122"/>
      <c r="BB296" s="122"/>
      <c r="BC296" s="122"/>
      <c r="BD296" s="122"/>
      <c r="BE296" s="122"/>
      <c r="BF296" s="122"/>
    </row>
    <row r="297" spans="13:58" hidden="1"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22"/>
      <c r="AH297" s="122"/>
      <c r="AI297" s="150"/>
      <c r="AJ297" s="150"/>
      <c r="AK297" s="150"/>
      <c r="AL297" s="150"/>
      <c r="AM297" s="150"/>
      <c r="AN297" s="150"/>
      <c r="AO297" s="150"/>
      <c r="AP297" s="150"/>
      <c r="AQ297" s="151"/>
      <c r="AR297" s="122"/>
      <c r="AS297" s="122"/>
      <c r="AT297" s="122"/>
      <c r="AU297" s="122"/>
      <c r="AV297" s="122"/>
      <c r="AW297" s="122"/>
      <c r="AX297" s="122"/>
      <c r="AY297" s="122"/>
      <c r="AZ297" s="122"/>
      <c r="BA297" s="122"/>
      <c r="BB297" s="122"/>
      <c r="BC297" s="122"/>
      <c r="BD297" s="122"/>
      <c r="BE297" s="122"/>
      <c r="BF297" s="122"/>
    </row>
    <row r="298" spans="13:58" hidden="1"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22"/>
      <c r="AH298" s="122"/>
      <c r="AI298" s="150"/>
      <c r="AJ298" s="150"/>
      <c r="AK298" s="150"/>
      <c r="AL298" s="150"/>
      <c r="AM298" s="150"/>
      <c r="AN298" s="150"/>
      <c r="AO298" s="150"/>
      <c r="AP298" s="150"/>
      <c r="AQ298" s="151"/>
      <c r="AR298" s="122"/>
      <c r="AS298" s="122"/>
      <c r="AT298" s="122"/>
      <c r="AU298" s="122"/>
      <c r="AV298" s="122"/>
      <c r="AW298" s="122"/>
      <c r="AX298" s="122"/>
      <c r="AY298" s="122"/>
      <c r="AZ298" s="122"/>
      <c r="BA298" s="122"/>
      <c r="BB298" s="122"/>
      <c r="BC298" s="122"/>
      <c r="BD298" s="122"/>
      <c r="BE298" s="122"/>
      <c r="BF298" s="122"/>
    </row>
  </sheetData>
  <sheetProtection algorithmName="SHA-512" hashValue="6UnV17bBo2+CZRMniUyJ1vHMaebFs6Q7mvQgr9zdCs7LjXH5aPcLYKEJAlm+R52S+tfEcWqEPRvVtlzxVq6B/A==" saltValue="N+epPxt3PKc7spCFyV6flw==" spinCount="100000" sheet="1" selectLockedCells="1"/>
  <dataConsolidate/>
  <mergeCells count="59">
    <mergeCell ref="F133:H133"/>
    <mergeCell ref="G138:H138"/>
    <mergeCell ref="W162:AC162"/>
    <mergeCell ref="D64:E64"/>
    <mergeCell ref="B68:D68"/>
    <mergeCell ref="E79:E80"/>
    <mergeCell ref="E81:E82"/>
    <mergeCell ref="D89:E89"/>
    <mergeCell ref="B90:F91"/>
    <mergeCell ref="AN172:AQ172"/>
    <mergeCell ref="B144:I144"/>
    <mergeCell ref="W159:AC159"/>
    <mergeCell ref="W160:AC160"/>
    <mergeCell ref="W161:AC161"/>
    <mergeCell ref="E40:E41"/>
    <mergeCell ref="G121:H121"/>
    <mergeCell ref="A57:A71"/>
    <mergeCell ref="B64:C64"/>
    <mergeCell ref="A94:A106"/>
    <mergeCell ref="B105:I106"/>
    <mergeCell ref="A109:A145"/>
    <mergeCell ref="E127:F127"/>
    <mergeCell ref="E128:F128"/>
    <mergeCell ref="G122:H122"/>
    <mergeCell ref="F131:I132"/>
    <mergeCell ref="E116:E117"/>
    <mergeCell ref="C116:C117"/>
    <mergeCell ref="G137:H137"/>
    <mergeCell ref="A72:A93"/>
    <mergeCell ref="G123:H123"/>
    <mergeCell ref="A1:I1"/>
    <mergeCell ref="B4:B5"/>
    <mergeCell ref="B7:B8"/>
    <mergeCell ref="B10:B11"/>
    <mergeCell ref="C4:I5"/>
    <mergeCell ref="A2:A24"/>
    <mergeCell ref="C7:I8"/>
    <mergeCell ref="C10:I11"/>
    <mergeCell ref="B13:D13"/>
    <mergeCell ref="C23:D23"/>
    <mergeCell ref="C24:G24"/>
    <mergeCell ref="B18:D18"/>
    <mergeCell ref="F19:I21"/>
    <mergeCell ref="A25:A32"/>
    <mergeCell ref="B30:F30"/>
    <mergeCell ref="G57:H57"/>
    <mergeCell ref="B63:D63"/>
    <mergeCell ref="C36:D37"/>
    <mergeCell ref="B36:B37"/>
    <mergeCell ref="A48:A56"/>
    <mergeCell ref="B49:E49"/>
    <mergeCell ref="B51:C51"/>
    <mergeCell ref="B53:C53"/>
    <mergeCell ref="G39:G40"/>
    <mergeCell ref="B40:D41"/>
    <mergeCell ref="A33:A47"/>
    <mergeCell ref="B44:G45"/>
    <mergeCell ref="E63:H63"/>
    <mergeCell ref="B55:G55"/>
  </mergeCells>
  <conditionalFormatting sqref="C36">
    <cfRule type="cellIs" dxfId="0" priority="1" operator="equal">
      <formula>"SE Abrigada NT.31.002"</formula>
    </cfRule>
  </conditionalFormatting>
  <dataValidations xWindow="1104" yWindow="368" count="9">
    <dataValidation allowBlank="1" showErrorMessage="1" promptTitle="Proprietário" prompt="Inserir o nome dos proprietários" sqref="C4 C7 C10" xr:uid="{00000000-0002-0000-0100-000000000000}"/>
    <dataValidation allowBlank="1" showInputMessage="1" showErrorMessage="1" promptTitle="Endereço" prompt="Inserir o Endereço de Instalação _x000a_" sqref="C9:I9 C12:I12" xr:uid="{00000000-0002-0000-0100-000001000000}"/>
    <dataValidation type="list" allowBlank="1" showInputMessage="1" showErrorMessage="1" promptTitle="ELETRODUTO" prompt="Especifique o material do Eletroduto a ser Instalado" sqref="C23" xr:uid="{00000000-0002-0000-0100-000002000000}">
      <formula1>$AG$173:$AG$176</formula1>
    </dataValidation>
    <dataValidation type="list" allowBlank="1" showInputMessage="1" showErrorMessage="1" sqref="C17 C15" xr:uid="{00000000-0002-0000-0100-000003000000}">
      <formula1>$AJ$173:$AJ$273</formula1>
    </dataValidation>
    <dataValidation allowBlank="1" showInputMessage="1" showErrorMessage="1" promptTitle="SOLICITAÇÃO" prompt="Insira o número da SA" sqref="C6" xr:uid="{00000000-0002-0000-0100-000004000000}"/>
    <dataValidation type="list" showDropDown="1" showInputMessage="1" showErrorMessage="1" sqref="C29" xr:uid="{00000000-0002-0000-0100-000005000000}">
      <formula1>#REF!</formula1>
    </dataValidation>
    <dataValidation showDropDown="1" showInputMessage="1" showErrorMessage="1" sqref="C28" xr:uid="{00000000-0002-0000-0100-000006000000}"/>
    <dataValidation type="list" allowBlank="1" showInputMessage="1" showErrorMessage="1" sqref="C14" xr:uid="{00000000-0002-0000-0100-000007000000}">
      <formula1>$T$8:$T$10</formula1>
    </dataValidation>
    <dataValidation type="list" allowBlank="1" showInputMessage="1" showErrorMessage="1" sqref="C16" xr:uid="{00000000-0002-0000-0100-000008000000}">
      <formula1>$U$8:$U$9</formula1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80" orientation="portrait" horizontalDpi="300" verticalDpi="300" r:id="rId1"/>
  <headerFooter alignWithMargins="0"/>
  <ignoredErrors>
    <ignoredError sqref="C20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</xdr:col>
                <xdr:colOff>304800</xdr:colOff>
                <xdr:row>71</xdr:row>
                <xdr:rowOff>0</xdr:rowOff>
              </from>
              <to>
                <xdr:col>2</xdr:col>
                <xdr:colOff>152400</xdr:colOff>
                <xdr:row>71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6" name="Button 3">
              <controlPr locked="0" defaultSize="0" print="0" autoFill="0" autoPict="0" macro="[0]!LIMPAR">
                <anchor moveWithCells="1" sizeWithCells="1">
                  <from>
                    <xdr:col>8</xdr:col>
                    <xdr:colOff>66675</xdr:colOff>
                    <xdr:row>1</xdr:row>
                    <xdr:rowOff>38100</xdr:rowOff>
                  </from>
                  <to>
                    <xdr:col>8</xdr:col>
                    <xdr:colOff>704850</xdr:colOff>
                    <xdr:row>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Plan21"/>
  <dimension ref="A1:D40"/>
  <sheetViews>
    <sheetView workbookViewId="0">
      <selection activeCell="A38" sqref="A38"/>
    </sheetView>
  </sheetViews>
  <sheetFormatPr defaultColWidth="9.140625" defaultRowHeight="12.75"/>
  <cols>
    <col min="1" max="1" width="18.42578125" style="171" bestFit="1" customWidth="1"/>
    <col min="2" max="2" width="20" style="171" customWidth="1"/>
    <col min="3" max="3" width="14.85546875" style="171" customWidth="1"/>
    <col min="4" max="16384" width="9.140625" style="171"/>
  </cols>
  <sheetData>
    <row r="1" spans="1:4">
      <c r="A1" s="446" t="s">
        <v>113</v>
      </c>
      <c r="B1" s="446"/>
      <c r="C1" s="446"/>
    </row>
    <row r="2" spans="1:4" ht="13.5" thickBot="1">
      <c r="A2" s="447" t="s">
        <v>114</v>
      </c>
      <c r="B2" s="449" t="s">
        <v>115</v>
      </c>
      <c r="C2" s="450"/>
    </row>
    <row r="3" spans="1:4" ht="13.5" thickBot="1">
      <c r="A3" s="448"/>
      <c r="B3" s="172" t="s">
        <v>116</v>
      </c>
      <c r="C3" s="173" t="s">
        <v>117</v>
      </c>
    </row>
    <row r="4" spans="1:4" ht="14.25" thickTop="1" thickBot="1">
      <c r="A4" s="174">
        <v>75</v>
      </c>
      <c r="B4" s="174">
        <v>60</v>
      </c>
      <c r="C4" s="175">
        <v>75</v>
      </c>
    </row>
    <row r="5" spans="1:4" ht="13.5" thickBot="1">
      <c r="A5" s="174">
        <v>112.5</v>
      </c>
      <c r="B5" s="174">
        <v>75.099999999999994</v>
      </c>
      <c r="C5" s="175">
        <v>112.5</v>
      </c>
    </row>
    <row r="6" spans="1:4" ht="13.5" thickBot="1">
      <c r="A6" s="174">
        <v>150</v>
      </c>
      <c r="B6" s="174">
        <v>112.6</v>
      </c>
      <c r="C6" s="175">
        <v>150</v>
      </c>
    </row>
    <row r="7" spans="1:4" ht="13.5" thickBot="1">
      <c r="A7" s="174">
        <v>225</v>
      </c>
      <c r="B7" s="174">
        <v>150.1</v>
      </c>
      <c r="C7" s="175">
        <v>225</v>
      </c>
    </row>
    <row r="8" spans="1:4">
      <c r="A8" s="176">
        <v>300</v>
      </c>
      <c r="B8" s="176">
        <v>225.1</v>
      </c>
      <c r="C8" s="177">
        <v>300</v>
      </c>
    </row>
    <row r="10" spans="1:4" ht="13.5" thickBot="1">
      <c r="A10" s="451" t="s">
        <v>118</v>
      </c>
      <c r="B10" s="451"/>
    </row>
    <row r="11" spans="1:4" ht="25.5" thickTop="1" thickBot="1">
      <c r="A11" s="178" t="s">
        <v>114</v>
      </c>
      <c r="B11" s="179" t="s">
        <v>119</v>
      </c>
      <c r="C11" s="180" t="s">
        <v>120</v>
      </c>
      <c r="D11" s="180" t="s">
        <v>121</v>
      </c>
    </row>
    <row r="12" spans="1:4" ht="13.5" thickBot="1">
      <c r="A12" s="174" t="s">
        <v>122</v>
      </c>
      <c r="B12" s="175" t="s">
        <v>123</v>
      </c>
      <c r="C12" s="180">
        <v>300</v>
      </c>
      <c r="D12" s="180">
        <v>11</v>
      </c>
    </row>
    <row r="13" spans="1:4" ht="13.5" thickBot="1">
      <c r="A13" s="174">
        <v>112.5</v>
      </c>
      <c r="B13" s="175" t="s">
        <v>124</v>
      </c>
      <c r="C13" s="180">
        <v>600</v>
      </c>
      <c r="D13" s="180">
        <v>11</v>
      </c>
    </row>
    <row r="14" spans="1:4" ht="13.5" thickBot="1">
      <c r="A14" s="174">
        <v>150</v>
      </c>
      <c r="B14" s="175" t="s">
        <v>124</v>
      </c>
      <c r="C14" s="180">
        <v>600</v>
      </c>
      <c r="D14" s="180">
        <v>11</v>
      </c>
    </row>
    <row r="15" spans="1:4" ht="13.5" thickBot="1">
      <c r="A15" s="174">
        <v>225</v>
      </c>
      <c r="B15" s="175" t="s">
        <v>125</v>
      </c>
      <c r="C15" s="180">
        <v>800</v>
      </c>
      <c r="D15" s="180">
        <v>11</v>
      </c>
    </row>
    <row r="16" spans="1:4" ht="13.5" thickBot="1">
      <c r="A16" s="181">
        <v>300</v>
      </c>
      <c r="B16" s="182" t="s">
        <v>126</v>
      </c>
      <c r="C16" s="180">
        <v>1000</v>
      </c>
      <c r="D16" s="180">
        <v>11</v>
      </c>
    </row>
    <row r="17" spans="1:2" ht="13.5" thickTop="1"/>
    <row r="19" spans="1:2" ht="13.5" thickBot="1">
      <c r="A19" s="451" t="s">
        <v>127</v>
      </c>
      <c r="B19" s="451"/>
    </row>
    <row r="20" spans="1:2" ht="39.75" thickTop="1" thickBot="1">
      <c r="A20" s="183" t="s">
        <v>114</v>
      </c>
      <c r="B20" s="184" t="s">
        <v>128</v>
      </c>
    </row>
    <row r="21" spans="1:2" ht="13.5" thickBot="1">
      <c r="A21" s="185">
        <v>10</v>
      </c>
      <c r="B21" s="186">
        <v>1</v>
      </c>
    </row>
    <row r="22" spans="1:2" ht="13.5" thickBot="1">
      <c r="A22" s="185">
        <v>15</v>
      </c>
      <c r="B22" s="186">
        <v>1.5</v>
      </c>
    </row>
    <row r="23" spans="1:2" ht="13.5" thickBot="1">
      <c r="A23" s="185">
        <v>30</v>
      </c>
      <c r="B23" s="186">
        <v>2</v>
      </c>
    </row>
    <row r="24" spans="1:2" ht="13.5" thickBot="1">
      <c r="A24" s="185">
        <v>45</v>
      </c>
      <c r="B24" s="186">
        <v>3</v>
      </c>
    </row>
    <row r="25" spans="1:2" ht="13.5" thickBot="1">
      <c r="A25" s="185">
        <v>75</v>
      </c>
      <c r="B25" s="186">
        <v>4</v>
      </c>
    </row>
    <row r="26" spans="1:2" ht="13.5" thickBot="1">
      <c r="A26" s="185">
        <v>112.5</v>
      </c>
      <c r="B26" s="186">
        <v>5</v>
      </c>
    </row>
    <row r="27" spans="1:2" ht="13.5" thickBot="1">
      <c r="A27" s="185">
        <v>150</v>
      </c>
      <c r="B27" s="186">
        <v>6</v>
      </c>
    </row>
    <row r="28" spans="1:2" ht="13.5" thickBot="1">
      <c r="A28" s="185">
        <v>225</v>
      </c>
      <c r="B28" s="186">
        <v>7.5</v>
      </c>
    </row>
    <row r="29" spans="1:2" ht="13.5" thickBot="1">
      <c r="A29" s="185">
        <v>300</v>
      </c>
      <c r="B29" s="186">
        <v>8</v>
      </c>
    </row>
    <row r="30" spans="1:2" ht="13.5" thickBot="1">
      <c r="A30" s="185">
        <v>500</v>
      </c>
      <c r="B30" s="186">
        <v>12.5</v>
      </c>
    </row>
    <row r="31" spans="1:2" ht="13.5" thickBot="1">
      <c r="A31" s="185">
        <v>750</v>
      </c>
      <c r="B31" s="186">
        <v>17</v>
      </c>
    </row>
    <row r="32" spans="1:2" ht="13.5" thickBot="1">
      <c r="A32" s="187">
        <v>1000</v>
      </c>
      <c r="B32" s="188">
        <v>19</v>
      </c>
    </row>
    <row r="33" spans="1:2" ht="13.5" thickTop="1"/>
    <row r="34" spans="1:2" ht="13.5" thickBot="1"/>
    <row r="35" spans="1:2" ht="14.25" thickTop="1" thickBot="1">
      <c r="A35" s="183" t="s">
        <v>129</v>
      </c>
      <c r="B35" s="183" t="s">
        <v>130</v>
      </c>
    </row>
    <row r="36" spans="1:2">
      <c r="A36" s="265">
        <v>34.5</v>
      </c>
      <c r="B36" s="265" t="s">
        <v>23</v>
      </c>
    </row>
    <row r="37" spans="1:2">
      <c r="A37" s="265">
        <v>13.8</v>
      </c>
      <c r="B37" s="265" t="s">
        <v>22</v>
      </c>
    </row>
    <row r="38" spans="1:2">
      <c r="A38" s="265"/>
      <c r="B38" s="265"/>
    </row>
    <row r="39" spans="1:2">
      <c r="A39" s="265"/>
      <c r="B39" s="265"/>
    </row>
    <row r="40" spans="1:2">
      <c r="A40" s="265"/>
      <c r="B40" s="265"/>
    </row>
  </sheetData>
  <sheetProtection algorithmName="SHA-512" hashValue="u6xOTIfBX8al5mdrbPquyY5qvX+qvlcMfCrbkLvi/iCjQq01p49D9WhQi5bXS6qLnCqPHX8AyqWPGHyIartINw==" saltValue="qkih+Cpl5K8QtrxAp4u4pQ==" spinCount="100000" sheet="1" objects="1" scenarios="1"/>
  <mergeCells count="5">
    <mergeCell ref="A1:C1"/>
    <mergeCell ref="A2:A3"/>
    <mergeCell ref="B2:C2"/>
    <mergeCell ref="A10:B10"/>
    <mergeCell ref="A19:B1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Plan2">
    <pageSetUpPr fitToPage="1"/>
  </sheetPr>
  <dimension ref="B1:M34"/>
  <sheetViews>
    <sheetView showGridLines="0" view="pageBreakPreview" zoomScaleNormal="100" zoomScaleSheetLayoutView="100" workbookViewId="0">
      <selection activeCell="B2" sqref="B2:E2"/>
    </sheetView>
  </sheetViews>
  <sheetFormatPr defaultColWidth="9.140625" defaultRowHeight="15"/>
  <cols>
    <col min="1" max="1" width="1.28515625" customWidth="1"/>
    <col min="2" max="2" width="7.42578125" customWidth="1"/>
    <col min="3" max="3" width="20.140625" customWidth="1"/>
    <col min="4" max="4" width="11.28515625" customWidth="1"/>
    <col min="5" max="5" width="9.85546875" customWidth="1"/>
    <col min="6" max="6" width="16.5703125" customWidth="1"/>
    <col min="7" max="7" width="6.28515625" customWidth="1"/>
    <col min="8" max="8" width="17.42578125" customWidth="1"/>
    <col min="9" max="9" width="6.28515625" customWidth="1"/>
    <col min="10" max="10" width="18.42578125" customWidth="1"/>
    <col min="11" max="11" width="19.7109375" customWidth="1"/>
    <col min="12" max="12" width="2.42578125" customWidth="1"/>
  </cols>
  <sheetData>
    <row r="1" spans="2:13" ht="53.25" customHeight="1"/>
    <row r="2" spans="2:13">
      <c r="B2" s="8" t="s">
        <v>12</v>
      </c>
      <c r="C2" s="458"/>
      <c r="D2" s="459"/>
      <c r="E2" s="460"/>
      <c r="F2" s="1">
        <f>'QUADRO DE CARGAS'!F56</f>
        <v>0</v>
      </c>
      <c r="G2" s="10"/>
      <c r="H2" s="1">
        <f>'QUADRO DE CARGAS'!H56</f>
        <v>0</v>
      </c>
      <c r="I2" s="10"/>
      <c r="J2" s="1">
        <f>'QUADRO DE CARGAS'!J56</f>
        <v>0</v>
      </c>
      <c r="K2" s="1">
        <f>'QUADRO DE CARGAS'!K56</f>
        <v>0</v>
      </c>
      <c r="L2" s="9"/>
    </row>
    <row r="3" spans="2:13" ht="15" customHeight="1">
      <c r="B3" s="461" t="s">
        <v>13</v>
      </c>
      <c r="C3" s="462"/>
      <c r="D3" s="462"/>
      <c r="E3" s="463"/>
      <c r="F3" s="11">
        <f>'QUADRO DE CARGAS'!F57</f>
        <v>0</v>
      </c>
      <c r="G3" s="12"/>
      <c r="H3" s="13"/>
      <c r="I3" s="12"/>
      <c r="J3" s="13"/>
      <c r="K3" s="14"/>
      <c r="L3" s="9"/>
    </row>
    <row r="4" spans="2:13" ht="15" customHeight="1">
      <c r="B4" s="461" t="s">
        <v>14</v>
      </c>
      <c r="C4" s="462"/>
      <c r="D4" s="462"/>
      <c r="E4" s="463"/>
      <c r="F4" s="15">
        <f>'QUADRO DE CARGAS'!F58</f>
        <v>0.92</v>
      </c>
      <c r="G4" s="12"/>
      <c r="H4" s="13"/>
      <c r="I4" s="12"/>
      <c r="J4" s="13"/>
      <c r="K4" s="14"/>
      <c r="L4" s="9"/>
    </row>
    <row r="5" spans="2:13" ht="15" customHeight="1">
      <c r="B5" s="461" t="s">
        <v>15</v>
      </c>
      <c r="C5" s="462"/>
      <c r="D5" s="462"/>
      <c r="E5" s="463"/>
      <c r="F5" s="2" t="str">
        <f>'QUADRO DE CARGAS'!F59</f>
        <v xml:space="preserve"> </v>
      </c>
      <c r="G5" s="456"/>
      <c r="H5" s="457"/>
      <c r="I5" s="10"/>
      <c r="J5" s="10"/>
      <c r="K5" s="10"/>
      <c r="L5" s="9"/>
    </row>
    <row r="6" spans="2:13" ht="15.75" thickBot="1">
      <c r="B6" s="10"/>
      <c r="C6" s="10"/>
      <c r="D6" s="10"/>
      <c r="E6" s="10"/>
      <c r="F6" s="10"/>
      <c r="G6" s="10"/>
      <c r="H6" s="10"/>
      <c r="I6" s="10"/>
      <c r="J6" s="10"/>
      <c r="K6" s="10"/>
      <c r="L6" s="9"/>
    </row>
    <row r="7" spans="2:13" ht="27" customHeight="1" thickTop="1" thickBot="1">
      <c r="B7" s="453" t="s">
        <v>131</v>
      </c>
      <c r="C7" s="453"/>
      <c r="D7" s="453"/>
      <c r="E7" s="453"/>
      <c r="F7" s="453"/>
      <c r="G7" s="453"/>
      <c r="H7" s="453"/>
      <c r="I7" s="10"/>
      <c r="J7" s="267" t="s">
        <v>132</v>
      </c>
      <c r="K7" s="16" t="s">
        <v>133</v>
      </c>
      <c r="L7" s="9"/>
    </row>
    <row r="8" spans="2:13" ht="15.75" thickBot="1">
      <c r="B8" s="17"/>
      <c r="C8" s="17"/>
      <c r="D8" s="17"/>
      <c r="E8" s="17"/>
      <c r="F8" s="10"/>
      <c r="G8" s="10"/>
      <c r="H8" s="10"/>
      <c r="I8" s="10"/>
      <c r="J8" s="289" t="s">
        <v>134</v>
      </c>
      <c r="K8" s="18">
        <v>75</v>
      </c>
      <c r="L8" s="9"/>
    </row>
    <row r="9" spans="2:13" ht="15.75" thickBot="1">
      <c r="B9" s="452" t="s">
        <v>135</v>
      </c>
      <c r="C9" s="452"/>
      <c r="D9" s="452"/>
      <c r="E9" s="452"/>
      <c r="F9" s="10"/>
      <c r="G9" s="10"/>
      <c r="H9" s="10"/>
      <c r="I9" s="10"/>
      <c r="J9" s="268" t="s">
        <v>136</v>
      </c>
      <c r="K9" s="18">
        <v>112.5</v>
      </c>
      <c r="L9" s="9"/>
    </row>
    <row r="10" spans="2:13" ht="15" customHeight="1" thickBot="1">
      <c r="B10" s="17"/>
      <c r="C10" s="17"/>
      <c r="D10" s="17"/>
      <c r="E10" s="17"/>
      <c r="F10" s="10"/>
      <c r="G10" s="10"/>
      <c r="H10" s="10"/>
      <c r="I10" s="10"/>
      <c r="J10" s="268" t="s">
        <v>137</v>
      </c>
      <c r="K10" s="18">
        <v>150</v>
      </c>
      <c r="L10" s="9"/>
    </row>
    <row r="11" spans="2:13" ht="15.75" thickBot="1">
      <c r="B11" s="452" t="s">
        <v>138</v>
      </c>
      <c r="C11" s="452"/>
      <c r="D11" s="452"/>
      <c r="E11" s="452"/>
      <c r="F11" s="452"/>
      <c r="G11" s="10"/>
      <c r="H11" s="10"/>
      <c r="I11" s="10"/>
      <c r="J11" s="268" t="s">
        <v>139</v>
      </c>
      <c r="K11" s="18">
        <v>225</v>
      </c>
      <c r="L11" s="9"/>
    </row>
    <row r="12" spans="2:13" ht="15" customHeight="1" thickBot="1">
      <c r="B12" s="19"/>
      <c r="C12" s="19"/>
      <c r="D12" s="19"/>
      <c r="E12" s="19"/>
      <c r="F12" s="10"/>
      <c r="G12" s="10"/>
      <c r="H12" s="10"/>
      <c r="I12" s="10"/>
      <c r="J12" s="268" t="s">
        <v>140</v>
      </c>
      <c r="K12" s="18">
        <v>300</v>
      </c>
      <c r="L12" s="9"/>
    </row>
    <row r="13" spans="2:13" ht="15.75" customHeight="1">
      <c r="B13" s="19" t="s">
        <v>141</v>
      </c>
      <c r="C13" s="3">
        <f>K2</f>
        <v>0</v>
      </c>
      <c r="D13" s="10"/>
      <c r="E13" s="10"/>
      <c r="F13" s="10"/>
      <c r="G13" s="10"/>
      <c r="H13" s="10"/>
      <c r="I13" s="10"/>
      <c r="J13" s="24"/>
      <c r="K13" s="24"/>
      <c r="L13" s="9"/>
    </row>
    <row r="14" spans="2:13" ht="15" customHeight="1">
      <c r="B14" s="20"/>
      <c r="C14" s="21"/>
      <c r="D14" s="10"/>
      <c r="E14" s="10"/>
      <c r="F14" s="10"/>
      <c r="G14" s="10"/>
      <c r="H14" s="10"/>
      <c r="I14" s="10"/>
      <c r="J14" s="24"/>
      <c r="K14" s="24"/>
      <c r="L14" s="9"/>
    </row>
    <row r="15" spans="2:13" ht="15.75">
      <c r="B15" s="454" t="s">
        <v>142</v>
      </c>
      <c r="C15" s="455"/>
      <c r="D15" s="266" t="str">
        <f>IF(C13&lt;60,"Atendimento em BT",IF(AND(C13&gt;=60,C13&lt;=82.9),K8,IF(AND(C13&gt;83.1,C13&lt;=124.9),K9,IF(AND(C13&gt;125,C13&lt;=165.9),K10,IF(AND(C13&gt;166,C13&lt;=248.9),K11,IF(AND(C13&gt;249,C13&lt;=330),K12,""))))))</f>
        <v>Atendimento em BT</v>
      </c>
      <c r="E15" s="22" t="s">
        <v>143</v>
      </c>
      <c r="F15" s="10"/>
      <c r="G15" s="10"/>
      <c r="H15" s="10"/>
      <c r="I15" s="10"/>
      <c r="J15" s="24"/>
      <c r="K15" s="24"/>
      <c r="L15" s="9"/>
    </row>
    <row r="16" spans="2:13" ht="15" customHeight="1">
      <c r="B16" s="10"/>
      <c r="C16" s="10"/>
      <c r="D16" s="10"/>
      <c r="E16" s="10"/>
      <c r="F16" s="10"/>
      <c r="G16" s="10"/>
      <c r="H16" s="10"/>
      <c r="I16" s="10"/>
      <c r="J16" s="24"/>
      <c r="K16" s="24"/>
      <c r="L16" s="9"/>
      <c r="M16" s="275"/>
    </row>
    <row r="17" spans="2:12">
      <c r="B17" s="24"/>
      <c r="C17" s="24"/>
      <c r="D17" s="24"/>
      <c r="E17" s="24"/>
      <c r="F17" s="24"/>
      <c r="G17" s="24"/>
      <c r="H17" s="24"/>
      <c r="I17" s="24"/>
      <c r="J17" s="27"/>
      <c r="K17" s="27"/>
      <c r="L17" s="9"/>
    </row>
    <row r="18" spans="2:12" ht="15.75" customHeight="1">
      <c r="B18" s="453" t="s">
        <v>144</v>
      </c>
      <c r="C18" s="453"/>
      <c r="D18" s="453"/>
      <c r="E18" s="453"/>
      <c r="F18" s="453"/>
      <c r="G18" s="453"/>
      <c r="H18" s="453"/>
      <c r="I18" s="453"/>
      <c r="J18" s="27"/>
      <c r="K18" s="27"/>
      <c r="L18" s="9"/>
    </row>
    <row r="19" spans="2:12" ht="8.25" customHeight="1">
      <c r="B19" s="24"/>
      <c r="C19" s="24"/>
      <c r="D19" s="24"/>
      <c r="E19" s="24"/>
      <c r="F19" s="24"/>
      <c r="G19" s="24"/>
      <c r="H19" s="24"/>
      <c r="I19" s="24"/>
      <c r="J19" s="27"/>
      <c r="K19" s="27"/>
      <c r="L19" s="9"/>
    </row>
    <row r="20" spans="2:12" ht="15" customHeight="1">
      <c r="B20" s="452" t="s">
        <v>145</v>
      </c>
      <c r="C20" s="452"/>
      <c r="D20" s="452"/>
      <c r="E20" s="452"/>
      <c r="F20" s="452"/>
      <c r="G20" s="452"/>
      <c r="H20" s="452"/>
      <c r="I20" s="452"/>
      <c r="J20" s="27"/>
      <c r="K20" s="27"/>
      <c r="L20" s="9"/>
    </row>
    <row r="21" spans="2:12" ht="8.25" customHeight="1">
      <c r="B21" s="26"/>
      <c r="C21" s="26"/>
      <c r="D21" s="26"/>
      <c r="E21" s="26"/>
      <c r="F21" s="27"/>
      <c r="G21" s="27"/>
      <c r="H21" s="27"/>
      <c r="I21" s="27"/>
      <c r="J21" s="27"/>
      <c r="K21" s="27"/>
    </row>
    <row r="22" spans="2:12">
      <c r="B22" s="26" t="s">
        <v>146</v>
      </c>
      <c r="C22" s="4">
        <f>F2</f>
        <v>0</v>
      </c>
      <c r="D22" s="26"/>
      <c r="E22" s="26"/>
      <c r="F22" s="27"/>
      <c r="G22" s="27"/>
      <c r="H22" s="27"/>
      <c r="I22" s="27"/>
      <c r="J22" s="27"/>
      <c r="K22" s="27"/>
    </row>
    <row r="23" spans="2:12">
      <c r="B23" s="26" t="s">
        <v>147</v>
      </c>
      <c r="C23" s="4">
        <f>J2</f>
        <v>0</v>
      </c>
      <c r="D23" s="26"/>
      <c r="E23" s="26"/>
      <c r="F23" s="27"/>
      <c r="G23" s="27"/>
      <c r="H23" s="27"/>
      <c r="I23" s="27"/>
      <c r="J23" s="27"/>
      <c r="K23" s="27"/>
    </row>
    <row r="24" spans="2:12">
      <c r="B24" s="26" t="s">
        <v>148</v>
      </c>
      <c r="C24" s="5">
        <f>IF('QUADRO DE CARGAS'!F58&gt;='QUADRO DE CARGAS'!F59,TAN(ACOS(F5))-TAN(ACOS(F4)),0)</f>
        <v>0</v>
      </c>
      <c r="D24" s="26"/>
      <c r="E24" s="26"/>
      <c r="F24" s="27"/>
      <c r="G24" s="27"/>
      <c r="H24" s="27"/>
      <c r="I24" s="27"/>
      <c r="J24" s="27"/>
      <c r="K24" s="27"/>
    </row>
    <row r="25" spans="2:12" ht="9.75" customHeight="1">
      <c r="B25" s="26"/>
      <c r="C25" s="26"/>
      <c r="D25" s="26"/>
      <c r="E25" s="26"/>
      <c r="F25" s="27"/>
      <c r="G25" s="27"/>
      <c r="H25" s="27"/>
      <c r="I25" s="27"/>
      <c r="J25" s="31"/>
      <c r="K25" s="31"/>
    </row>
    <row r="26" spans="2:12" ht="15.75">
      <c r="B26" s="28" t="s">
        <v>149</v>
      </c>
      <c r="C26" s="6">
        <f>IFERROR(C22*C24," ")</f>
        <v>0</v>
      </c>
      <c r="D26" s="29" t="s">
        <v>40</v>
      </c>
      <c r="E26" s="25" t="s">
        <v>150</v>
      </c>
      <c r="F26" s="27"/>
      <c r="G26" s="27"/>
      <c r="H26" s="27"/>
      <c r="I26" s="27"/>
    </row>
    <row r="27" spans="2:12" ht="5.25" customHeight="1">
      <c r="B27" s="26"/>
      <c r="C27" s="26"/>
      <c r="D27" s="26"/>
      <c r="E27" s="26"/>
      <c r="F27" s="27"/>
      <c r="G27" s="27"/>
      <c r="H27" s="27"/>
      <c r="I27" s="27"/>
      <c r="J27" s="31"/>
      <c r="K27" s="31"/>
    </row>
    <row r="28" spans="2:12">
      <c r="B28" s="27"/>
      <c r="C28" s="27"/>
      <c r="D28" s="27"/>
      <c r="E28" s="31"/>
      <c r="F28" s="31"/>
      <c r="J28" s="31"/>
      <c r="K28" s="31"/>
    </row>
    <row r="29" spans="2:12">
      <c r="B29" s="30"/>
      <c r="C29" s="30"/>
      <c r="D29" s="30"/>
      <c r="E29" s="30"/>
      <c r="F29" s="31"/>
      <c r="G29" s="31"/>
      <c r="H29" s="31"/>
      <c r="I29" s="31"/>
      <c r="J29" s="31"/>
      <c r="K29" s="31"/>
    </row>
    <row r="30" spans="2:12">
      <c r="B30" s="30"/>
      <c r="C30" s="30"/>
      <c r="D30" s="30"/>
      <c r="E30" s="30"/>
      <c r="F30" s="31"/>
      <c r="G30" s="31"/>
      <c r="H30" s="31"/>
      <c r="I30" s="31"/>
      <c r="J30" s="31"/>
      <c r="K30" s="31"/>
    </row>
    <row r="31" spans="2:12">
      <c r="B31" s="30"/>
      <c r="C31" s="30"/>
      <c r="D31" s="30"/>
      <c r="E31" s="30"/>
      <c r="F31" s="31"/>
      <c r="G31" s="31"/>
      <c r="H31" s="31"/>
      <c r="I31" s="31"/>
    </row>
    <row r="32" spans="2:12">
      <c r="B32" s="30"/>
      <c r="C32" s="30"/>
      <c r="D32" s="30"/>
      <c r="E32" s="30"/>
      <c r="F32" s="31"/>
      <c r="G32" s="31"/>
      <c r="H32" s="31"/>
      <c r="I32" s="31"/>
    </row>
    <row r="33" spans="2:9">
      <c r="B33" s="30"/>
      <c r="C33" s="30"/>
      <c r="D33" s="30"/>
      <c r="E33" s="30"/>
      <c r="F33" s="31"/>
      <c r="G33" s="31"/>
      <c r="H33" s="31"/>
      <c r="I33" s="31"/>
    </row>
    <row r="34" spans="2:9">
      <c r="B34" s="31"/>
      <c r="C34" s="31"/>
      <c r="D34" s="31"/>
      <c r="E34" s="31"/>
      <c r="F34" s="31"/>
      <c r="G34" s="31"/>
      <c r="H34" s="31"/>
      <c r="I34" s="31"/>
    </row>
  </sheetData>
  <sheetProtection algorithmName="SHA-512" hashValue="id1JygFPTjJPdLhB+R5mVG9e2cuYne0F3vMDaI25M2JcDWYpcmLmpcq+xDu2iZI3BWtF7I+ka5wI0dqdW17p3A==" saltValue="Jcvyd6PlbnyZNVPi1t4eog==" spinCount="100000" sheet="1" selectLockedCells="1"/>
  <mergeCells count="11">
    <mergeCell ref="G5:H5"/>
    <mergeCell ref="C2:E2"/>
    <mergeCell ref="B3:E3"/>
    <mergeCell ref="B4:E4"/>
    <mergeCell ref="B5:E5"/>
    <mergeCell ref="B20:I20"/>
    <mergeCell ref="B7:H7"/>
    <mergeCell ref="B9:E9"/>
    <mergeCell ref="B11:F11"/>
    <mergeCell ref="B15:C15"/>
    <mergeCell ref="B18:I18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59" orientation="portrait" horizontalDpi="4294967295" verticalDpi="4294967295" r:id="rId1"/>
  <rowBreaks count="1" manualBreakCount="1">
    <brk id="5" min="1" max="10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Plan7"/>
  <dimension ref="A1:F25"/>
  <sheetViews>
    <sheetView workbookViewId="0">
      <selection activeCell="A2" sqref="A2:E2"/>
    </sheetView>
  </sheetViews>
  <sheetFormatPr defaultColWidth="9.140625" defaultRowHeight="12.75"/>
  <cols>
    <col min="1" max="1" width="19.28515625" style="171" customWidth="1"/>
    <col min="2" max="2" width="24.28515625" style="171" customWidth="1"/>
    <col min="3" max="3" width="19.85546875" style="171" customWidth="1"/>
    <col min="4" max="5" width="16.85546875" style="171" bestFit="1" customWidth="1"/>
    <col min="6" max="16384" width="9.140625" style="171"/>
  </cols>
  <sheetData>
    <row r="1" spans="1:6" ht="15.75" thickBot="1">
      <c r="A1" s="464" t="s">
        <v>151</v>
      </c>
      <c r="B1" s="464"/>
      <c r="C1" s="464"/>
    </row>
    <row r="2" spans="1:6" ht="25.5" customHeight="1" thickTop="1" thickBot="1">
      <c r="A2" s="465" t="s">
        <v>152</v>
      </c>
      <c r="B2" s="465"/>
      <c r="C2" s="465"/>
    </row>
    <row r="3" spans="1:6" ht="36" customHeight="1" thickBot="1">
      <c r="A3" s="189" t="s">
        <v>153</v>
      </c>
      <c r="B3" s="190"/>
      <c r="C3" s="191"/>
    </row>
    <row r="4" spans="1:6" ht="13.5" thickBot="1">
      <c r="A4" s="192">
        <v>5</v>
      </c>
      <c r="B4" s="192" t="s">
        <v>154</v>
      </c>
      <c r="C4" s="193" t="s">
        <v>154</v>
      </c>
    </row>
    <row r="5" spans="1:6" ht="13.5" thickBot="1">
      <c r="A5" s="192">
        <v>10</v>
      </c>
      <c r="B5" s="192" t="s">
        <v>155</v>
      </c>
      <c r="C5" s="193" t="s">
        <v>154</v>
      </c>
    </row>
    <row r="6" spans="1:6" ht="13.5" thickBot="1">
      <c r="A6" s="192">
        <v>15</v>
      </c>
      <c r="B6" s="192" t="s">
        <v>156</v>
      </c>
      <c r="C6" s="193" t="s">
        <v>154</v>
      </c>
    </row>
    <row r="7" spans="1:6" ht="13.5" thickBot="1">
      <c r="A7" s="192">
        <v>25</v>
      </c>
      <c r="B7" s="192" t="s">
        <v>157</v>
      </c>
      <c r="C7" s="193" t="s">
        <v>155</v>
      </c>
    </row>
    <row r="8" spans="1:6" ht="13.5" thickBot="1">
      <c r="A8" s="192">
        <v>37.5</v>
      </c>
      <c r="B8" s="192"/>
      <c r="C8" s="193"/>
    </row>
    <row r="9" spans="1:6" ht="13.5" thickBot="1">
      <c r="A9" s="466" t="s">
        <v>158</v>
      </c>
      <c r="B9" s="466"/>
      <c r="C9" s="466"/>
    </row>
    <row r="10" spans="1:6" ht="13.5" thickBot="1">
      <c r="A10" s="189" t="s">
        <v>153</v>
      </c>
      <c r="B10" s="189" t="s">
        <v>159</v>
      </c>
      <c r="C10" s="194" t="s">
        <v>160</v>
      </c>
      <c r="D10" s="195" t="s">
        <v>161</v>
      </c>
      <c r="E10" s="195" t="s">
        <v>161</v>
      </c>
      <c r="F10" s="171" t="s">
        <v>162</v>
      </c>
    </row>
    <row r="11" spans="1:6" ht="13.5" thickBot="1">
      <c r="A11" s="192" t="s">
        <v>163</v>
      </c>
      <c r="B11" s="192" t="s">
        <v>154</v>
      </c>
      <c r="C11" s="193" t="s">
        <v>154</v>
      </c>
      <c r="D11" s="195" t="str">
        <f>B12</f>
        <v>1H</v>
      </c>
      <c r="E11" s="195" t="str">
        <f>C12</f>
        <v>0,5H</v>
      </c>
      <c r="F11" s="171" t="s">
        <v>164</v>
      </c>
    </row>
    <row r="12" spans="1:6" ht="13.5" thickBot="1">
      <c r="A12" s="192">
        <v>30</v>
      </c>
      <c r="B12" s="192" t="s">
        <v>155</v>
      </c>
      <c r="C12" s="193" t="s">
        <v>154</v>
      </c>
      <c r="D12" s="195" t="str">
        <f t="shared" ref="D12:E23" si="0">B13</f>
        <v>2H</v>
      </c>
      <c r="E12" s="195" t="str">
        <f t="shared" si="0"/>
        <v>0,5H</v>
      </c>
      <c r="F12" s="171" t="s">
        <v>165</v>
      </c>
    </row>
    <row r="13" spans="1:6" ht="14.25" thickTop="1" thickBot="1">
      <c r="A13" s="192">
        <v>45</v>
      </c>
      <c r="B13" s="192" t="s">
        <v>156</v>
      </c>
      <c r="C13" s="193" t="s">
        <v>154</v>
      </c>
      <c r="D13" s="195" t="str">
        <f t="shared" si="0"/>
        <v>3H</v>
      </c>
      <c r="E13" s="195" t="str">
        <f t="shared" si="0"/>
        <v>1H</v>
      </c>
      <c r="F13" s="335" t="s">
        <v>156</v>
      </c>
    </row>
    <row r="14" spans="1:6" ht="13.5" thickBot="1">
      <c r="A14" s="192">
        <v>75</v>
      </c>
      <c r="B14" s="192" t="s">
        <v>157</v>
      </c>
      <c r="C14" s="193" t="s">
        <v>155</v>
      </c>
      <c r="D14" s="195" t="str">
        <f t="shared" si="0"/>
        <v>5H</v>
      </c>
      <c r="E14" s="195" t="str">
        <f t="shared" si="0"/>
        <v>2H</v>
      </c>
      <c r="F14" s="336" t="s">
        <v>156</v>
      </c>
    </row>
    <row r="15" spans="1:6" ht="13.5" thickBot="1">
      <c r="A15" s="192">
        <v>112.5</v>
      </c>
      <c r="B15" s="192" t="s">
        <v>166</v>
      </c>
      <c r="C15" s="193" t="s">
        <v>156</v>
      </c>
      <c r="D15" s="195" t="str">
        <f t="shared" si="0"/>
        <v>5K</v>
      </c>
      <c r="E15" s="195" t="str">
        <f t="shared" si="0"/>
        <v>2H</v>
      </c>
      <c r="F15" s="336" t="s">
        <v>157</v>
      </c>
    </row>
    <row r="16" spans="1:6" ht="13.5" thickBot="1">
      <c r="A16" s="192">
        <v>150</v>
      </c>
      <c r="B16" s="192" t="s">
        <v>167</v>
      </c>
      <c r="C16" s="193" t="s">
        <v>156</v>
      </c>
      <c r="D16" s="195" t="str">
        <f t="shared" si="0"/>
        <v>10K</v>
      </c>
      <c r="E16" s="195" t="str">
        <f t="shared" si="0"/>
        <v>5H</v>
      </c>
      <c r="F16" s="336" t="s">
        <v>166</v>
      </c>
    </row>
    <row r="17" spans="1:6" ht="13.5" thickBot="1">
      <c r="A17" s="192">
        <v>225</v>
      </c>
      <c r="B17" s="192" t="s">
        <v>168</v>
      </c>
      <c r="C17" s="193" t="s">
        <v>166</v>
      </c>
      <c r="D17" s="195" t="str">
        <f t="shared" si="0"/>
        <v>15K</v>
      </c>
      <c r="E17" s="195" t="str">
        <f t="shared" si="0"/>
        <v>6K</v>
      </c>
      <c r="F17" s="336" t="s">
        <v>169</v>
      </c>
    </row>
    <row r="18" spans="1:6" ht="13.5" thickBot="1">
      <c r="A18" s="192">
        <v>300</v>
      </c>
      <c r="B18" s="192" t="s">
        <v>170</v>
      </c>
      <c r="C18" s="193" t="s">
        <v>169</v>
      </c>
      <c r="D18" s="195" t="str">
        <f t="shared" si="0"/>
        <v>25K</v>
      </c>
      <c r="E18" s="195" t="str">
        <f t="shared" si="0"/>
        <v>12K</v>
      </c>
      <c r="F18" s="336" t="s">
        <v>168</v>
      </c>
    </row>
    <row r="19" spans="1:6" ht="13.5" thickBot="1">
      <c r="A19" s="192">
        <v>500</v>
      </c>
      <c r="B19" s="192" t="s">
        <v>171</v>
      </c>
      <c r="C19" s="193" t="s">
        <v>172</v>
      </c>
      <c r="D19" s="195" t="str">
        <f t="shared" si="0"/>
        <v>40K</v>
      </c>
      <c r="E19" s="195" t="str">
        <f t="shared" si="0"/>
        <v>15K</v>
      </c>
      <c r="F19" s="336" t="s">
        <v>170</v>
      </c>
    </row>
    <row r="20" spans="1:6" ht="13.5" thickBot="1">
      <c r="A20" s="192">
        <v>750</v>
      </c>
      <c r="B20" s="192" t="s">
        <v>173</v>
      </c>
      <c r="C20" s="193" t="s">
        <v>170</v>
      </c>
      <c r="D20" s="195" t="str">
        <f t="shared" si="0"/>
        <v>40K</v>
      </c>
      <c r="E20" s="195" t="str">
        <f t="shared" si="0"/>
        <v>25K</v>
      </c>
      <c r="F20" s="336" t="s">
        <v>171</v>
      </c>
    </row>
    <row r="21" spans="1:6" ht="13.5" thickBot="1">
      <c r="A21" s="196">
        <v>1000</v>
      </c>
      <c r="B21" s="192" t="s">
        <v>173</v>
      </c>
      <c r="C21" s="193" t="s">
        <v>171</v>
      </c>
      <c r="D21" s="195" t="str">
        <f t="shared" si="0"/>
        <v>65K</v>
      </c>
      <c r="E21" s="195" t="str">
        <f t="shared" si="0"/>
        <v>30K</v>
      </c>
      <c r="F21" s="336" t="s">
        <v>174</v>
      </c>
    </row>
    <row r="22" spans="1:6" ht="13.5" thickBot="1">
      <c r="A22" s="196">
        <v>1500</v>
      </c>
      <c r="B22" s="192" t="s">
        <v>175</v>
      </c>
      <c r="C22" s="193" t="s">
        <v>174</v>
      </c>
      <c r="D22" s="195" t="str">
        <f t="shared" si="0"/>
        <v>100K</v>
      </c>
      <c r="E22" s="195" t="str">
        <f t="shared" si="0"/>
        <v>50K</v>
      </c>
      <c r="F22" s="336" t="s">
        <v>173</v>
      </c>
    </row>
    <row r="23" spans="1:6" ht="13.5" thickBot="1">
      <c r="A23" s="196">
        <v>2000</v>
      </c>
      <c r="B23" s="192" t="s">
        <v>176</v>
      </c>
      <c r="C23" s="193" t="s">
        <v>177</v>
      </c>
      <c r="D23" s="195" t="str">
        <f t="shared" si="0"/>
        <v>100K</v>
      </c>
      <c r="E23" s="195" t="str">
        <f t="shared" si="0"/>
        <v>65K</v>
      </c>
      <c r="F23" s="336" t="s">
        <v>177</v>
      </c>
    </row>
    <row r="24" spans="1:6" ht="13.5" thickBot="1">
      <c r="A24" s="197">
        <v>2500</v>
      </c>
      <c r="B24" s="198" t="s">
        <v>176</v>
      </c>
      <c r="C24" s="199" t="s">
        <v>175</v>
      </c>
      <c r="D24" s="195" t="s">
        <v>178</v>
      </c>
      <c r="E24" s="195" t="s">
        <v>178</v>
      </c>
      <c r="F24" s="336" t="s">
        <v>175</v>
      </c>
    </row>
    <row r="25" spans="1:6" ht="13.5" thickTop="1"/>
  </sheetData>
  <sheetProtection algorithmName="SHA-512" hashValue="drbPx01gKz2s8ddWASPjLA08rmWi/mqLA8yZcuCTXLkPqQh6ufuQyPRpV54wbJt0dZo7FgN1tstr7nVrRiy+Qw==" saltValue="BV8u7P4G0OYgYdVyWCGWyQ==" spinCount="100000" sheet="1" objects="1" scenarios="1"/>
  <mergeCells count="3">
    <mergeCell ref="A1:C1"/>
    <mergeCell ref="A2:C2"/>
    <mergeCell ref="A9:C9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</xdr:col>
                <xdr:colOff>485775</xdr:colOff>
                <xdr:row>2</xdr:row>
                <xdr:rowOff>28575</xdr:rowOff>
              </from>
              <to>
                <xdr:col>1</xdr:col>
                <xdr:colOff>1266825</xdr:colOff>
                <xdr:row>2</xdr:row>
                <xdr:rowOff>428625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2</xdr:col>
                <xdr:colOff>342900</xdr:colOff>
                <xdr:row>2</xdr:row>
                <xdr:rowOff>0</xdr:rowOff>
              </from>
              <to>
                <xdr:col>2</xdr:col>
                <xdr:colOff>1028700</xdr:colOff>
                <xdr:row>2</xdr:row>
                <xdr:rowOff>428625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Plan8"/>
  <dimension ref="A1:AC23"/>
  <sheetViews>
    <sheetView topLeftCell="B1" zoomScale="85" zoomScaleNormal="85" workbookViewId="0">
      <selection activeCell="V22" sqref="V22"/>
    </sheetView>
  </sheetViews>
  <sheetFormatPr defaultColWidth="9.140625" defaultRowHeight="12.75"/>
  <cols>
    <col min="1" max="6" width="9.140625" style="171"/>
    <col min="7" max="7" width="18" style="171" customWidth="1"/>
    <col min="8" max="12" width="9.140625" style="171"/>
    <col min="13" max="13" width="14.42578125" style="171" customWidth="1"/>
    <col min="14" max="16384" width="9.140625" style="171"/>
  </cols>
  <sheetData>
    <row r="1" spans="1:29" ht="16.5" thickBot="1">
      <c r="A1" s="467" t="s">
        <v>179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P1" s="467" t="s">
        <v>180</v>
      </c>
      <c r="Q1" s="467"/>
      <c r="R1" s="467"/>
      <c r="S1" s="467"/>
      <c r="T1" s="467"/>
      <c r="U1" s="467"/>
      <c r="V1" s="467"/>
      <c r="W1" s="467"/>
      <c r="X1" s="467"/>
      <c r="Y1" s="467"/>
      <c r="Z1" s="467"/>
      <c r="AA1" s="467"/>
      <c r="AB1" s="467"/>
    </row>
    <row r="2" spans="1:29" ht="14.25" thickTop="1" thickBot="1">
      <c r="A2" s="465" t="s">
        <v>152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P2" s="468" t="s">
        <v>152</v>
      </c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200"/>
    </row>
    <row r="3" spans="1:29" ht="43.5" customHeight="1" thickBot="1">
      <c r="A3" s="469" t="s">
        <v>153</v>
      </c>
      <c r="B3" s="472" t="s">
        <v>181</v>
      </c>
      <c r="C3" s="469"/>
      <c r="D3" s="472" t="s">
        <v>56</v>
      </c>
      <c r="E3" s="476"/>
      <c r="F3" s="479" t="s">
        <v>182</v>
      </c>
      <c r="G3" s="480"/>
      <c r="H3" s="479" t="s">
        <v>183</v>
      </c>
      <c r="I3" s="480"/>
      <c r="J3" s="481" t="s">
        <v>61</v>
      </c>
      <c r="K3" s="466"/>
      <c r="L3" s="466"/>
      <c r="M3" s="466"/>
      <c r="P3" s="497" t="s">
        <v>153</v>
      </c>
      <c r="Q3" s="496" t="s">
        <v>181</v>
      </c>
      <c r="R3" s="497"/>
      <c r="S3" s="496" t="s">
        <v>56</v>
      </c>
      <c r="T3" s="497"/>
      <c r="U3" s="496" t="s">
        <v>184</v>
      </c>
      <c r="V3" s="497"/>
      <c r="W3" s="496" t="s">
        <v>185</v>
      </c>
      <c r="X3" s="497"/>
      <c r="Y3" s="488" t="s">
        <v>186</v>
      </c>
      <c r="Z3" s="489"/>
      <c r="AA3" s="489"/>
      <c r="AB3" s="489"/>
      <c r="AC3" s="200"/>
    </row>
    <row r="4" spans="1:29" ht="13.5" thickBot="1">
      <c r="A4" s="470"/>
      <c r="B4" s="473"/>
      <c r="C4" s="470"/>
      <c r="D4" s="473"/>
      <c r="E4" s="477"/>
      <c r="F4" s="482" t="s">
        <v>187</v>
      </c>
      <c r="G4" s="483"/>
      <c r="H4" s="482" t="s">
        <v>188</v>
      </c>
      <c r="I4" s="483"/>
      <c r="J4" s="484" t="s">
        <v>189</v>
      </c>
      <c r="K4" s="485"/>
      <c r="L4" s="476"/>
      <c r="M4" s="201" t="s">
        <v>190</v>
      </c>
      <c r="P4" s="487"/>
      <c r="Q4" s="486"/>
      <c r="R4" s="487"/>
      <c r="S4" s="486"/>
      <c r="T4" s="487"/>
      <c r="U4" s="486"/>
      <c r="V4" s="487"/>
      <c r="W4" s="486" t="s">
        <v>188</v>
      </c>
      <c r="X4" s="487"/>
      <c r="Y4" s="488" t="s">
        <v>61</v>
      </c>
      <c r="Z4" s="489"/>
      <c r="AA4" s="489"/>
      <c r="AB4" s="489"/>
      <c r="AC4" s="200"/>
    </row>
    <row r="5" spans="1:29" ht="13.5" thickBot="1">
      <c r="A5" s="471"/>
      <c r="B5" s="474"/>
      <c r="C5" s="475"/>
      <c r="D5" s="474"/>
      <c r="E5" s="478"/>
      <c r="F5" s="490"/>
      <c r="G5" s="491"/>
      <c r="H5" s="490"/>
      <c r="I5" s="491"/>
      <c r="J5" s="492" t="s">
        <v>191</v>
      </c>
      <c r="K5" s="493"/>
      <c r="L5" s="478"/>
      <c r="M5" s="202" t="s">
        <v>192</v>
      </c>
      <c r="P5" s="487"/>
      <c r="Q5" s="486"/>
      <c r="R5" s="487"/>
      <c r="S5" s="486"/>
      <c r="T5" s="487"/>
      <c r="U5" s="486"/>
      <c r="V5" s="487"/>
      <c r="W5" s="494"/>
      <c r="X5" s="495"/>
      <c r="Y5" s="496" t="s">
        <v>62</v>
      </c>
      <c r="Z5" s="497"/>
      <c r="AA5" s="496" t="s">
        <v>193</v>
      </c>
      <c r="AB5" s="500"/>
      <c r="AC5" s="200"/>
    </row>
    <row r="6" spans="1:29" ht="13.5" thickBot="1">
      <c r="A6" s="280">
        <v>3</v>
      </c>
      <c r="B6" s="531">
        <v>220</v>
      </c>
      <c r="C6" s="532"/>
      <c r="D6" s="511">
        <v>15</v>
      </c>
      <c r="E6" s="512"/>
      <c r="F6" s="513" t="s">
        <v>194</v>
      </c>
      <c r="G6" s="514"/>
      <c r="H6" s="513" t="s">
        <v>195</v>
      </c>
      <c r="I6" s="514"/>
      <c r="J6" s="515">
        <v>25</v>
      </c>
      <c r="K6" s="516"/>
      <c r="L6" s="512"/>
      <c r="M6" s="281">
        <v>4</v>
      </c>
      <c r="P6" s="499"/>
      <c r="Q6" s="498"/>
      <c r="R6" s="499"/>
      <c r="S6" s="498"/>
      <c r="T6" s="499"/>
      <c r="U6" s="498"/>
      <c r="V6" s="499"/>
      <c r="W6" s="517"/>
      <c r="X6" s="518"/>
      <c r="Y6" s="498"/>
      <c r="Z6" s="499"/>
      <c r="AA6" s="498"/>
      <c r="AB6" s="501"/>
      <c r="AC6" s="200"/>
    </row>
    <row r="7" spans="1:29" ht="13.5" thickBot="1">
      <c r="A7" s="192">
        <v>5</v>
      </c>
      <c r="B7" s="533"/>
      <c r="C7" s="534"/>
      <c r="D7" s="502">
        <v>23</v>
      </c>
      <c r="E7" s="503"/>
      <c r="F7" s="507" t="s">
        <v>194</v>
      </c>
      <c r="G7" s="508"/>
      <c r="H7" s="507" t="s">
        <v>195</v>
      </c>
      <c r="I7" s="508"/>
      <c r="J7" s="509">
        <v>25</v>
      </c>
      <c r="K7" s="510"/>
      <c r="L7" s="503"/>
      <c r="M7" s="193">
        <v>2</v>
      </c>
      <c r="P7" s="185">
        <v>5</v>
      </c>
      <c r="Q7" s="521">
        <v>127</v>
      </c>
      <c r="R7" s="522"/>
      <c r="S7" s="504">
        <v>39</v>
      </c>
      <c r="T7" s="505"/>
      <c r="U7" s="507" t="s">
        <v>194</v>
      </c>
      <c r="V7" s="508"/>
      <c r="W7" s="504" t="s">
        <v>195</v>
      </c>
      <c r="X7" s="505"/>
      <c r="Y7" s="504">
        <v>25</v>
      </c>
      <c r="Z7" s="505"/>
      <c r="AA7" s="504">
        <v>2</v>
      </c>
      <c r="AB7" s="506"/>
      <c r="AC7" s="200"/>
    </row>
    <row r="8" spans="1:29" ht="13.5" customHeight="1" thickBot="1">
      <c r="A8" s="192">
        <v>10</v>
      </c>
      <c r="B8" s="533"/>
      <c r="C8" s="534"/>
      <c r="D8" s="502">
        <v>45</v>
      </c>
      <c r="E8" s="503"/>
      <c r="F8" s="507" t="s">
        <v>194</v>
      </c>
      <c r="G8" s="508"/>
      <c r="H8" s="507" t="s">
        <v>195</v>
      </c>
      <c r="I8" s="508"/>
      <c r="J8" s="509">
        <v>25</v>
      </c>
      <c r="K8" s="510"/>
      <c r="L8" s="503"/>
      <c r="M8" s="193">
        <v>2</v>
      </c>
      <c r="P8" s="185">
        <v>10</v>
      </c>
      <c r="Q8" s="523"/>
      <c r="R8" s="524"/>
      <c r="S8" s="504">
        <v>79</v>
      </c>
      <c r="T8" s="505"/>
      <c r="U8" s="507" t="s">
        <v>196</v>
      </c>
      <c r="V8" s="508"/>
      <c r="W8" s="504" t="s">
        <v>197</v>
      </c>
      <c r="X8" s="505"/>
      <c r="Y8" s="504">
        <v>25</v>
      </c>
      <c r="Z8" s="505"/>
      <c r="AA8" s="504">
        <v>2</v>
      </c>
      <c r="AB8" s="506"/>
      <c r="AC8" s="200"/>
    </row>
    <row r="9" spans="1:29" ht="13.5" customHeight="1" thickBot="1">
      <c r="A9" s="192">
        <v>15</v>
      </c>
      <c r="B9" s="533"/>
      <c r="C9" s="534"/>
      <c r="D9" s="502">
        <v>68</v>
      </c>
      <c r="E9" s="503"/>
      <c r="F9" s="507" t="s">
        <v>198</v>
      </c>
      <c r="G9" s="508"/>
      <c r="H9" s="507" t="s">
        <v>195</v>
      </c>
      <c r="I9" s="508"/>
      <c r="J9" s="509">
        <v>25</v>
      </c>
      <c r="K9" s="510"/>
      <c r="L9" s="503"/>
      <c r="M9" s="193">
        <v>2</v>
      </c>
      <c r="P9" s="274">
        <v>15</v>
      </c>
      <c r="Q9" s="523"/>
      <c r="R9" s="524"/>
      <c r="S9" s="504">
        <v>118</v>
      </c>
      <c r="T9" s="505"/>
      <c r="U9" s="507" t="s">
        <v>199</v>
      </c>
      <c r="V9" s="508"/>
      <c r="W9" s="504" t="s">
        <v>200</v>
      </c>
      <c r="X9" s="505"/>
      <c r="Y9" s="504">
        <v>25</v>
      </c>
      <c r="Z9" s="505"/>
      <c r="AA9" s="504">
        <v>2</v>
      </c>
      <c r="AB9" s="506"/>
      <c r="AC9" s="200"/>
    </row>
    <row r="10" spans="1:29" ht="15.75" customHeight="1" thickBot="1">
      <c r="A10" s="192">
        <v>25</v>
      </c>
      <c r="B10" s="533"/>
      <c r="C10" s="534"/>
      <c r="D10" s="502">
        <v>114</v>
      </c>
      <c r="E10" s="503"/>
      <c r="F10" s="507" t="s">
        <v>199</v>
      </c>
      <c r="G10" s="508"/>
      <c r="H10" s="507" t="s">
        <v>197</v>
      </c>
      <c r="I10" s="508"/>
      <c r="J10" s="509">
        <v>25</v>
      </c>
      <c r="K10" s="510"/>
      <c r="L10" s="503"/>
      <c r="M10" s="193">
        <v>2</v>
      </c>
      <c r="P10" s="274">
        <v>25</v>
      </c>
      <c r="Q10" s="523"/>
      <c r="R10" s="524"/>
      <c r="S10" s="504">
        <v>197</v>
      </c>
      <c r="T10" s="505"/>
      <c r="U10" s="507" t="s">
        <v>201</v>
      </c>
      <c r="V10" s="508"/>
      <c r="W10" s="504" t="s">
        <v>202</v>
      </c>
      <c r="X10" s="505"/>
      <c r="Y10" s="504">
        <v>25</v>
      </c>
      <c r="Z10" s="505"/>
      <c r="AA10" s="504">
        <v>2</v>
      </c>
      <c r="AB10" s="506"/>
      <c r="AC10" s="200"/>
    </row>
    <row r="11" spans="1:29" ht="14.25" thickTop="1" thickBot="1">
      <c r="A11" s="466" t="s">
        <v>158</v>
      </c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P11" s="468" t="s">
        <v>158</v>
      </c>
      <c r="Q11" s="468"/>
      <c r="R11" s="468"/>
      <c r="S11" s="468"/>
      <c r="T11" s="468"/>
      <c r="U11" s="468"/>
      <c r="V11" s="468"/>
      <c r="W11" s="468"/>
      <c r="X11" s="468"/>
      <c r="Y11" s="468"/>
      <c r="Z11" s="468"/>
      <c r="AA11" s="468"/>
      <c r="AB11" s="468"/>
      <c r="AC11" s="200"/>
    </row>
    <row r="12" spans="1:29" ht="48.75" customHeight="1" thickBot="1">
      <c r="A12" s="203" t="s">
        <v>203</v>
      </c>
      <c r="B12" s="203" t="s">
        <v>204</v>
      </c>
      <c r="C12" s="472" t="s">
        <v>56</v>
      </c>
      <c r="D12" s="476"/>
      <c r="E12" s="484" t="s">
        <v>205</v>
      </c>
      <c r="F12" s="476"/>
      <c r="G12" s="479" t="s">
        <v>206</v>
      </c>
      <c r="H12" s="480"/>
      <c r="I12" s="479" t="s">
        <v>183</v>
      </c>
      <c r="J12" s="480"/>
      <c r="K12" s="484" t="s">
        <v>61</v>
      </c>
      <c r="L12" s="485"/>
      <c r="M12" s="485"/>
      <c r="P12" s="497" t="s">
        <v>153</v>
      </c>
      <c r="Q12" s="526" t="s">
        <v>181</v>
      </c>
      <c r="R12" s="496" t="s">
        <v>56</v>
      </c>
      <c r="S12" s="497"/>
      <c r="T12" s="496" t="s">
        <v>205</v>
      </c>
      <c r="U12" s="497"/>
      <c r="V12" s="496" t="s">
        <v>184</v>
      </c>
      <c r="W12" s="497"/>
      <c r="X12" s="496" t="s">
        <v>207</v>
      </c>
      <c r="Y12" s="497"/>
      <c r="Z12" s="488" t="s">
        <v>61</v>
      </c>
      <c r="AA12" s="489"/>
      <c r="AB12" s="539"/>
      <c r="AC12" s="200"/>
    </row>
    <row r="13" spans="1:29" ht="24" customHeight="1" thickBot="1">
      <c r="A13" s="203" t="s">
        <v>208</v>
      </c>
      <c r="B13" s="203" t="s">
        <v>209</v>
      </c>
      <c r="C13" s="473"/>
      <c r="D13" s="477"/>
      <c r="E13" s="525"/>
      <c r="F13" s="477"/>
      <c r="G13" s="482" t="s">
        <v>210</v>
      </c>
      <c r="H13" s="483"/>
      <c r="I13" s="482" t="s">
        <v>188</v>
      </c>
      <c r="J13" s="483"/>
      <c r="K13" s="492"/>
      <c r="L13" s="493"/>
      <c r="M13" s="493"/>
      <c r="P13" s="487"/>
      <c r="Q13" s="527"/>
      <c r="R13" s="486"/>
      <c r="S13" s="487"/>
      <c r="T13" s="486"/>
      <c r="U13" s="487"/>
      <c r="V13" s="486"/>
      <c r="W13" s="487"/>
      <c r="X13" s="486" t="s">
        <v>188</v>
      </c>
      <c r="Y13" s="487"/>
      <c r="Z13" s="496" t="s">
        <v>62</v>
      </c>
      <c r="AA13" s="497"/>
      <c r="AB13" s="526" t="s">
        <v>193</v>
      </c>
      <c r="AC13" s="200"/>
    </row>
    <row r="14" spans="1:29" ht="14.25" customHeight="1" thickBot="1">
      <c r="A14" s="204"/>
      <c r="B14" s="204"/>
      <c r="C14" s="473"/>
      <c r="D14" s="477"/>
      <c r="E14" s="525"/>
      <c r="F14" s="477"/>
      <c r="G14" s="482" t="s">
        <v>187</v>
      </c>
      <c r="H14" s="483"/>
      <c r="I14" s="529"/>
      <c r="J14" s="530"/>
      <c r="K14" s="205" t="s">
        <v>189</v>
      </c>
      <c r="L14" s="484" t="s">
        <v>190</v>
      </c>
      <c r="M14" s="485"/>
      <c r="P14" s="499"/>
      <c r="Q14" s="528"/>
      <c r="R14" s="498"/>
      <c r="S14" s="499"/>
      <c r="T14" s="498"/>
      <c r="U14" s="499"/>
      <c r="V14" s="498"/>
      <c r="W14" s="499"/>
      <c r="X14" s="517"/>
      <c r="Y14" s="518"/>
      <c r="Z14" s="498"/>
      <c r="AA14" s="499"/>
      <c r="AB14" s="528"/>
      <c r="AC14" s="200"/>
    </row>
    <row r="15" spans="1:29" ht="15" thickBot="1">
      <c r="A15" s="206"/>
      <c r="B15" s="206"/>
      <c r="C15" s="474"/>
      <c r="D15" s="478"/>
      <c r="E15" s="492"/>
      <c r="F15" s="478"/>
      <c r="G15" s="490"/>
      <c r="H15" s="491"/>
      <c r="I15" s="490"/>
      <c r="J15" s="491"/>
      <c r="K15" s="207" t="s">
        <v>191</v>
      </c>
      <c r="L15" s="492" t="s">
        <v>192</v>
      </c>
      <c r="M15" s="493"/>
      <c r="P15" s="280">
        <v>30</v>
      </c>
      <c r="Q15" s="541">
        <v>220</v>
      </c>
      <c r="R15" s="535">
        <v>87</v>
      </c>
      <c r="S15" s="536"/>
      <c r="T15" s="535">
        <v>100</v>
      </c>
      <c r="U15" s="536"/>
      <c r="V15" s="535" t="s">
        <v>211</v>
      </c>
      <c r="W15" s="536"/>
      <c r="X15" s="535" t="s">
        <v>212</v>
      </c>
      <c r="Y15" s="536"/>
      <c r="Z15" s="535">
        <v>25</v>
      </c>
      <c r="AA15" s="536"/>
      <c r="AB15" s="285">
        <v>2</v>
      </c>
      <c r="AC15" s="200"/>
    </row>
    <row r="16" spans="1:29" ht="13.5" thickBot="1">
      <c r="A16" s="280">
        <v>30</v>
      </c>
      <c r="B16" s="544">
        <v>380</v>
      </c>
      <c r="C16" s="535">
        <v>50</v>
      </c>
      <c r="D16" s="514"/>
      <c r="E16" s="513">
        <v>50</v>
      </c>
      <c r="F16" s="514"/>
      <c r="G16" s="513" t="s">
        <v>213</v>
      </c>
      <c r="H16" s="514"/>
      <c r="I16" s="513" t="s">
        <v>212</v>
      </c>
      <c r="J16" s="514"/>
      <c r="K16" s="282">
        <v>25</v>
      </c>
      <c r="L16" s="283"/>
      <c r="M16" s="284">
        <v>2</v>
      </c>
      <c r="P16" s="288">
        <v>45</v>
      </c>
      <c r="Q16" s="542"/>
      <c r="R16" s="535">
        <v>118</v>
      </c>
      <c r="S16" s="536"/>
      <c r="T16" s="535">
        <v>125</v>
      </c>
      <c r="U16" s="536"/>
      <c r="V16" s="535" t="s">
        <v>214</v>
      </c>
      <c r="W16" s="536"/>
      <c r="X16" s="535" t="s">
        <v>212</v>
      </c>
      <c r="Y16" s="536"/>
      <c r="Z16" s="535">
        <v>25</v>
      </c>
      <c r="AA16" s="536"/>
      <c r="AB16" s="285">
        <v>2</v>
      </c>
      <c r="AC16" s="200"/>
    </row>
    <row r="17" spans="1:29" ht="15.75" customHeight="1" thickBot="1">
      <c r="A17" s="280">
        <v>45</v>
      </c>
      <c r="B17" s="545"/>
      <c r="C17" s="535">
        <v>68</v>
      </c>
      <c r="D17" s="514"/>
      <c r="E17" s="513">
        <v>75</v>
      </c>
      <c r="F17" s="514"/>
      <c r="G17" s="513" t="s">
        <v>211</v>
      </c>
      <c r="H17" s="514"/>
      <c r="I17" s="513" t="s">
        <v>215</v>
      </c>
      <c r="J17" s="514"/>
      <c r="K17" s="282">
        <v>25</v>
      </c>
      <c r="L17" s="283"/>
      <c r="M17" s="284">
        <v>2</v>
      </c>
      <c r="P17" s="185">
        <v>75</v>
      </c>
      <c r="Q17" s="542"/>
      <c r="R17" s="504">
        <v>197</v>
      </c>
      <c r="S17" s="505"/>
      <c r="T17" s="504">
        <v>200</v>
      </c>
      <c r="U17" s="505"/>
      <c r="V17" s="507" t="s">
        <v>216</v>
      </c>
      <c r="W17" s="508"/>
      <c r="X17" s="504" t="s">
        <v>217</v>
      </c>
      <c r="Y17" s="505"/>
      <c r="Z17" s="504">
        <v>25</v>
      </c>
      <c r="AA17" s="505"/>
      <c r="AB17" s="186">
        <v>2</v>
      </c>
      <c r="AC17" s="200"/>
    </row>
    <row r="18" spans="1:29" ht="15.75" customHeight="1" thickBot="1">
      <c r="A18" s="192">
        <v>75</v>
      </c>
      <c r="B18" s="545"/>
      <c r="C18" s="540">
        <v>114</v>
      </c>
      <c r="D18" s="520"/>
      <c r="E18" s="519">
        <v>125</v>
      </c>
      <c r="F18" s="520"/>
      <c r="G18" s="519" t="s">
        <v>214</v>
      </c>
      <c r="H18" s="520"/>
      <c r="I18" s="519" t="s">
        <v>212</v>
      </c>
      <c r="J18" s="520"/>
      <c r="K18" s="208">
        <v>25</v>
      </c>
      <c r="L18" s="276"/>
      <c r="M18" s="278">
        <v>2</v>
      </c>
      <c r="P18" s="185">
        <v>112.5</v>
      </c>
      <c r="Q18" s="542"/>
      <c r="R18" s="504">
        <v>295</v>
      </c>
      <c r="S18" s="505"/>
      <c r="T18" s="504">
        <v>300</v>
      </c>
      <c r="U18" s="505"/>
      <c r="V18" s="504" t="s">
        <v>222</v>
      </c>
      <c r="W18" s="505"/>
      <c r="X18" s="504" t="s">
        <v>218</v>
      </c>
      <c r="Y18" s="505"/>
      <c r="Z18" s="504">
        <v>25</v>
      </c>
      <c r="AA18" s="505"/>
      <c r="AB18" s="186">
        <v>2</v>
      </c>
      <c r="AC18" s="200"/>
    </row>
    <row r="19" spans="1:29" ht="27.75" customHeight="1" thickBot="1">
      <c r="A19" s="192">
        <v>112.5</v>
      </c>
      <c r="B19" s="545"/>
      <c r="C19" s="540">
        <v>171</v>
      </c>
      <c r="D19" s="520"/>
      <c r="E19" s="519">
        <v>175</v>
      </c>
      <c r="F19" s="520"/>
      <c r="G19" s="519" t="s">
        <v>216</v>
      </c>
      <c r="H19" s="520"/>
      <c r="I19" s="519" t="s">
        <v>219</v>
      </c>
      <c r="J19" s="520"/>
      <c r="K19" s="208">
        <v>25</v>
      </c>
      <c r="L19" s="276"/>
      <c r="M19" s="278">
        <v>2</v>
      </c>
      <c r="P19" s="185">
        <v>150</v>
      </c>
      <c r="Q19" s="542"/>
      <c r="R19" s="504">
        <v>394</v>
      </c>
      <c r="S19" s="505"/>
      <c r="T19" s="504">
        <v>400</v>
      </c>
      <c r="U19" s="505"/>
      <c r="V19" s="504" t="s">
        <v>318</v>
      </c>
      <c r="W19" s="505"/>
      <c r="X19" s="504" t="s">
        <v>319</v>
      </c>
      <c r="Y19" s="505"/>
      <c r="Z19" s="504">
        <v>50</v>
      </c>
      <c r="AA19" s="505"/>
      <c r="AB19" s="186" t="s">
        <v>220</v>
      </c>
      <c r="AC19" s="200"/>
    </row>
    <row r="20" spans="1:29" ht="31.5" customHeight="1" thickBot="1">
      <c r="A20" s="192">
        <v>150</v>
      </c>
      <c r="B20" s="545"/>
      <c r="C20" s="540">
        <v>228</v>
      </c>
      <c r="D20" s="520"/>
      <c r="E20" s="519">
        <v>250</v>
      </c>
      <c r="F20" s="520"/>
      <c r="G20" s="519" t="s">
        <v>221</v>
      </c>
      <c r="H20" s="520"/>
      <c r="I20" s="519" t="s">
        <v>219</v>
      </c>
      <c r="J20" s="520"/>
      <c r="K20" s="208">
        <v>50</v>
      </c>
      <c r="L20" s="276"/>
      <c r="M20" s="278" t="s">
        <v>220</v>
      </c>
      <c r="P20" s="185">
        <v>225</v>
      </c>
      <c r="Q20" s="542"/>
      <c r="R20" s="504">
        <v>590</v>
      </c>
      <c r="S20" s="505"/>
      <c r="T20" s="504">
        <v>600</v>
      </c>
      <c r="U20" s="505"/>
      <c r="V20" s="504" t="s">
        <v>320</v>
      </c>
      <c r="W20" s="505"/>
      <c r="X20" s="504" t="s">
        <v>321</v>
      </c>
      <c r="Y20" s="505"/>
      <c r="Z20" s="504">
        <v>50</v>
      </c>
      <c r="AA20" s="505"/>
      <c r="AB20" s="186" t="s">
        <v>220</v>
      </c>
      <c r="AC20" s="200"/>
    </row>
    <row r="21" spans="1:29" ht="45.75" customHeight="1" thickBot="1">
      <c r="A21" s="192">
        <v>225</v>
      </c>
      <c r="B21" s="545"/>
      <c r="C21" s="540">
        <v>342</v>
      </c>
      <c r="D21" s="520"/>
      <c r="E21" s="519">
        <v>350</v>
      </c>
      <c r="F21" s="520"/>
      <c r="G21" s="519" t="s">
        <v>222</v>
      </c>
      <c r="H21" s="520"/>
      <c r="I21" s="519" t="s">
        <v>223</v>
      </c>
      <c r="J21" s="520"/>
      <c r="K21" s="208">
        <v>50</v>
      </c>
      <c r="L21" s="276"/>
      <c r="M21" s="278" t="s">
        <v>220</v>
      </c>
      <c r="P21" s="187">
        <v>300</v>
      </c>
      <c r="Q21" s="543"/>
      <c r="R21" s="537">
        <v>787</v>
      </c>
      <c r="S21" s="538"/>
      <c r="T21" s="537">
        <v>800</v>
      </c>
      <c r="U21" s="538"/>
      <c r="V21" s="537" t="s">
        <v>314</v>
      </c>
      <c r="W21" s="538"/>
      <c r="X21" s="504" t="s">
        <v>315</v>
      </c>
      <c r="Y21" s="505"/>
      <c r="Z21" s="537">
        <v>50</v>
      </c>
      <c r="AA21" s="538"/>
      <c r="AB21" s="188" t="s">
        <v>220</v>
      </c>
      <c r="AC21" s="200"/>
    </row>
    <row r="22" spans="1:29" ht="34.5" customHeight="1" thickBot="1">
      <c r="A22" s="198">
        <v>300</v>
      </c>
      <c r="B22" s="546"/>
      <c r="C22" s="549">
        <v>456</v>
      </c>
      <c r="D22" s="548"/>
      <c r="E22" s="547">
        <v>500</v>
      </c>
      <c r="F22" s="548"/>
      <c r="G22" s="519" t="s">
        <v>316</v>
      </c>
      <c r="H22" s="520"/>
      <c r="I22" s="547" t="s">
        <v>317</v>
      </c>
      <c r="J22" s="548"/>
      <c r="K22" s="209">
        <v>50</v>
      </c>
      <c r="L22" s="277"/>
      <c r="M22" s="279" t="s">
        <v>220</v>
      </c>
    </row>
    <row r="23" spans="1:29" ht="13.5" thickTop="1"/>
  </sheetData>
  <mergeCells count="161">
    <mergeCell ref="Z21:AA21"/>
    <mergeCell ref="Z19:AA19"/>
    <mergeCell ref="V20:W20"/>
    <mergeCell ref="X20:Y20"/>
    <mergeCell ref="Z20:AA20"/>
    <mergeCell ref="T20:U20"/>
    <mergeCell ref="T19:U19"/>
    <mergeCell ref="V19:W19"/>
    <mergeCell ref="B16:B22"/>
    <mergeCell ref="C21:D21"/>
    <mergeCell ref="E21:F21"/>
    <mergeCell ref="G21:H21"/>
    <mergeCell ref="I21:J21"/>
    <mergeCell ref="G22:H22"/>
    <mergeCell ref="I22:J22"/>
    <mergeCell ref="R21:S21"/>
    <mergeCell ref="C20:D20"/>
    <mergeCell ref="E20:F20"/>
    <mergeCell ref="G20:H20"/>
    <mergeCell ref="I20:J20"/>
    <mergeCell ref="R20:S20"/>
    <mergeCell ref="C22:D22"/>
    <mergeCell ref="E22:F22"/>
    <mergeCell ref="C16:D16"/>
    <mergeCell ref="R12:S14"/>
    <mergeCell ref="T12:U14"/>
    <mergeCell ref="V18:W18"/>
    <mergeCell ref="C19:D19"/>
    <mergeCell ref="E19:F19"/>
    <mergeCell ref="G19:H19"/>
    <mergeCell ref="I19:J19"/>
    <mergeCell ref="T18:U18"/>
    <mergeCell ref="R19:S19"/>
    <mergeCell ref="C18:D18"/>
    <mergeCell ref="E18:F18"/>
    <mergeCell ref="G18:H18"/>
    <mergeCell ref="E16:F16"/>
    <mergeCell ref="G16:H16"/>
    <mergeCell ref="I16:J16"/>
    <mergeCell ref="R18:S18"/>
    <mergeCell ref="C17:D17"/>
    <mergeCell ref="E17:F17"/>
    <mergeCell ref="G15:H15"/>
    <mergeCell ref="I15:J15"/>
    <mergeCell ref="L15:M15"/>
    <mergeCell ref="Q15:Q21"/>
    <mergeCell ref="G17:H17"/>
    <mergeCell ref="I17:J17"/>
    <mergeCell ref="Z17:AA17"/>
    <mergeCell ref="V12:W14"/>
    <mergeCell ref="X12:Y12"/>
    <mergeCell ref="V15:W15"/>
    <mergeCell ref="X15:Y15"/>
    <mergeCell ref="Z15:AA15"/>
    <mergeCell ref="Z12:AB12"/>
    <mergeCell ref="X14:Y14"/>
    <mergeCell ref="X13:Y13"/>
    <mergeCell ref="Z13:AA14"/>
    <mergeCell ref="AB13:AB14"/>
    <mergeCell ref="V16:W16"/>
    <mergeCell ref="X16:Y16"/>
    <mergeCell ref="Z16:AA16"/>
    <mergeCell ref="V17:W17"/>
    <mergeCell ref="X19:Y19"/>
    <mergeCell ref="R17:S17"/>
    <mergeCell ref="T17:U17"/>
    <mergeCell ref="X17:Y17"/>
    <mergeCell ref="R16:S16"/>
    <mergeCell ref="T16:U16"/>
    <mergeCell ref="T15:U15"/>
    <mergeCell ref="T21:U21"/>
    <mergeCell ref="V21:W21"/>
    <mergeCell ref="X21:Y21"/>
    <mergeCell ref="R15:S15"/>
    <mergeCell ref="I18:J18"/>
    <mergeCell ref="X18:Y18"/>
    <mergeCell ref="Z18:AA18"/>
    <mergeCell ref="Q7:R10"/>
    <mergeCell ref="L14:M14"/>
    <mergeCell ref="G13:H13"/>
    <mergeCell ref="I13:J13"/>
    <mergeCell ref="F10:G10"/>
    <mergeCell ref="A11:M11"/>
    <mergeCell ref="P11:AB11"/>
    <mergeCell ref="C12:D15"/>
    <mergeCell ref="E12:F15"/>
    <mergeCell ref="F9:G9"/>
    <mergeCell ref="H9:I9"/>
    <mergeCell ref="G12:H12"/>
    <mergeCell ref="I12:J12"/>
    <mergeCell ref="K12:M13"/>
    <mergeCell ref="P12:P14"/>
    <mergeCell ref="Q12:Q14"/>
    <mergeCell ref="G14:H14"/>
    <mergeCell ref="I14:J14"/>
    <mergeCell ref="B6:C10"/>
    <mergeCell ref="AA8:AB8"/>
    <mergeCell ref="F8:G8"/>
    <mergeCell ref="U8:V8"/>
    <mergeCell ref="Y7:Z7"/>
    <mergeCell ref="W9:X9"/>
    <mergeCell ref="Y9:Z9"/>
    <mergeCell ref="D9:E9"/>
    <mergeCell ref="D6:E6"/>
    <mergeCell ref="F6:G6"/>
    <mergeCell ref="H6:I6"/>
    <mergeCell ref="J6:L6"/>
    <mergeCell ref="W6:X6"/>
    <mergeCell ref="D7:E7"/>
    <mergeCell ref="F7:G7"/>
    <mergeCell ref="H7:I7"/>
    <mergeCell ref="J7:L7"/>
    <mergeCell ref="D8:E8"/>
    <mergeCell ref="Y3:AB3"/>
    <mergeCell ref="AA5:AB6"/>
    <mergeCell ref="P3:P6"/>
    <mergeCell ref="D10:E10"/>
    <mergeCell ref="W7:X7"/>
    <mergeCell ref="W8:X8"/>
    <mergeCell ref="W10:X10"/>
    <mergeCell ref="Y10:Z10"/>
    <mergeCell ref="AA9:AB9"/>
    <mergeCell ref="S7:T7"/>
    <mergeCell ref="U7:V7"/>
    <mergeCell ref="AA10:AB10"/>
    <mergeCell ref="J9:L9"/>
    <mergeCell ref="S9:T9"/>
    <mergeCell ref="U9:V9"/>
    <mergeCell ref="H10:I10"/>
    <mergeCell ref="J10:L10"/>
    <mergeCell ref="S10:T10"/>
    <mergeCell ref="U10:V10"/>
    <mergeCell ref="AA7:AB7"/>
    <mergeCell ref="Y8:Z8"/>
    <mergeCell ref="H8:I8"/>
    <mergeCell ref="J8:L8"/>
    <mergeCell ref="S8:T8"/>
    <mergeCell ref="A1:M1"/>
    <mergeCell ref="P1:AB1"/>
    <mergeCell ref="A2:M2"/>
    <mergeCell ref="P2:AB2"/>
    <mergeCell ref="A3:A5"/>
    <mergeCell ref="B3:C5"/>
    <mergeCell ref="D3:E5"/>
    <mergeCell ref="F3:G3"/>
    <mergeCell ref="H3:I3"/>
    <mergeCell ref="J3:M3"/>
    <mergeCell ref="F4:G4"/>
    <mergeCell ref="H4:I4"/>
    <mergeCell ref="J4:L4"/>
    <mergeCell ref="W4:X4"/>
    <mergeCell ref="Y4:AB4"/>
    <mergeCell ref="F5:G5"/>
    <mergeCell ref="H5:I5"/>
    <mergeCell ref="J5:L5"/>
    <mergeCell ref="W5:X5"/>
    <mergeCell ref="Y5:Z6"/>
    <mergeCell ref="Q3:R6"/>
    <mergeCell ref="S3:T6"/>
    <mergeCell ref="U3:V6"/>
    <mergeCell ref="W3:X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Plan5"/>
  <dimension ref="B1:M20"/>
  <sheetViews>
    <sheetView showGridLines="0" topLeftCell="E1" zoomScale="79" workbookViewId="0">
      <selection activeCell="B2" sqref="B2:E2"/>
    </sheetView>
  </sheetViews>
  <sheetFormatPr defaultColWidth="10.28515625" defaultRowHeight="22.5" customHeight="1"/>
  <cols>
    <col min="1" max="3" width="10.28515625" style="210" customWidth="1"/>
    <col min="4" max="4" width="13.28515625" style="210" customWidth="1"/>
    <col min="5" max="5" width="32.140625" style="210" customWidth="1"/>
    <col min="6" max="7" width="14.28515625" style="210" customWidth="1"/>
    <col min="8" max="8" width="25.5703125" style="210" bestFit="1" customWidth="1"/>
    <col min="9" max="9" width="22" style="210" customWidth="1"/>
    <col min="10" max="16384" width="10.28515625" style="210"/>
  </cols>
  <sheetData>
    <row r="1" spans="2:13" ht="22.5" customHeight="1" thickBot="1"/>
    <row r="2" spans="2:13" ht="27" customHeight="1" thickBot="1">
      <c r="B2" s="211"/>
      <c r="C2" s="212"/>
      <c r="D2" s="212"/>
      <c r="E2" s="213" t="s">
        <v>41</v>
      </c>
      <c r="F2" s="550" t="s">
        <v>224</v>
      </c>
      <c r="G2" s="551"/>
      <c r="H2" s="551"/>
      <c r="I2" s="552"/>
      <c r="J2" s="212"/>
      <c r="K2" s="212"/>
      <c r="L2" s="212"/>
      <c r="M2" s="214"/>
    </row>
    <row r="3" spans="2:13" ht="22.5" customHeight="1">
      <c r="B3" s="215"/>
      <c r="M3" s="216"/>
    </row>
    <row r="4" spans="2:13" ht="22.5" customHeight="1" thickBot="1">
      <c r="B4" s="215"/>
      <c r="M4" s="216"/>
    </row>
    <row r="5" spans="2:13" ht="22.5" customHeight="1">
      <c r="B5" s="215"/>
      <c r="F5" s="553" t="s">
        <v>225</v>
      </c>
      <c r="G5" s="554"/>
      <c r="H5" s="217" t="s">
        <v>226</v>
      </c>
      <c r="M5" s="216"/>
    </row>
    <row r="6" spans="2:13" ht="22.5" customHeight="1">
      <c r="B6" s="215"/>
      <c r="F6" s="218" t="s">
        <v>227</v>
      </c>
      <c r="G6" s="219" t="s">
        <v>228</v>
      </c>
      <c r="H6" s="220" t="s">
        <v>229</v>
      </c>
      <c r="M6" s="216"/>
    </row>
    <row r="7" spans="2:13" ht="22.5" customHeight="1">
      <c r="B7" s="215"/>
      <c r="F7" s="223">
        <v>60</v>
      </c>
      <c r="G7" s="221">
        <v>82.9</v>
      </c>
      <c r="H7" s="222">
        <v>75</v>
      </c>
      <c r="M7" s="216"/>
    </row>
    <row r="8" spans="2:13" ht="22.5" customHeight="1">
      <c r="B8" s="215"/>
      <c r="F8" s="223">
        <v>83</v>
      </c>
      <c r="G8" s="221">
        <v>124.9</v>
      </c>
      <c r="H8" s="222">
        <v>112.5</v>
      </c>
      <c r="M8" s="216"/>
    </row>
    <row r="9" spans="2:13" ht="22.5" customHeight="1">
      <c r="B9" s="215"/>
      <c r="C9" s="210" t="s">
        <v>230</v>
      </c>
      <c r="F9" s="223">
        <v>125</v>
      </c>
      <c r="G9" s="221">
        <v>165.9</v>
      </c>
      <c r="H9" s="222">
        <v>150</v>
      </c>
      <c r="M9" s="216"/>
    </row>
    <row r="10" spans="2:13" ht="22.5" customHeight="1">
      <c r="B10" s="215"/>
      <c r="F10" s="223">
        <v>166</v>
      </c>
      <c r="G10" s="221">
        <v>248.9</v>
      </c>
      <c r="H10" s="222">
        <v>225</v>
      </c>
      <c r="I10" s="210" t="s">
        <v>231</v>
      </c>
      <c r="M10" s="216"/>
    </row>
    <row r="11" spans="2:13" ht="22.5" customHeight="1">
      <c r="B11" s="215"/>
      <c r="F11" s="223">
        <v>249</v>
      </c>
      <c r="G11" s="221">
        <v>330</v>
      </c>
      <c r="H11" s="222">
        <v>300</v>
      </c>
      <c r="M11" s="216"/>
    </row>
    <row r="12" spans="2:13" ht="22.5" customHeight="1">
      <c r="B12" s="215"/>
      <c r="F12" s="224">
        <v>301</v>
      </c>
      <c r="G12" s="225">
        <v>9.9999999999999908E+22</v>
      </c>
      <c r="H12" s="226" t="s">
        <v>232</v>
      </c>
      <c r="M12" s="216"/>
    </row>
    <row r="13" spans="2:13" ht="22.5" customHeight="1" thickBot="1">
      <c r="B13" s="215"/>
      <c r="F13" s="227"/>
      <c r="G13" s="228"/>
      <c r="H13" s="229" t="s">
        <v>232</v>
      </c>
      <c r="M13" s="216"/>
    </row>
    <row r="14" spans="2:13" ht="22.5" customHeight="1">
      <c r="B14" s="215"/>
      <c r="M14" s="216"/>
    </row>
    <row r="15" spans="2:13" ht="22.5" customHeight="1">
      <c r="B15" s="215"/>
      <c r="M15" s="216"/>
    </row>
    <row r="16" spans="2:13" ht="22.5" customHeight="1">
      <c r="B16" s="215"/>
      <c r="G16" s="264" t="s">
        <v>47</v>
      </c>
      <c r="M16" s="216"/>
    </row>
    <row r="17" spans="2:13" ht="22.5" customHeight="1" thickBot="1">
      <c r="B17" s="215"/>
      <c r="F17" s="230"/>
      <c r="G17" s="230"/>
      <c r="H17" s="230"/>
      <c r="M17" s="216"/>
    </row>
    <row r="18" spans="2:13" ht="22.5" customHeight="1">
      <c r="B18" s="215"/>
      <c r="M18" s="216"/>
    </row>
    <row r="19" spans="2:13" ht="22.5" customHeight="1">
      <c r="B19" s="215"/>
      <c r="M19" s="216"/>
    </row>
    <row r="20" spans="2:13" ht="22.5" customHeight="1" thickBot="1">
      <c r="B20" s="231"/>
      <c r="C20" s="230"/>
      <c r="D20" s="230"/>
      <c r="E20" s="230"/>
      <c r="I20" s="230"/>
      <c r="J20" s="230"/>
      <c r="K20" s="230"/>
      <c r="L20" s="230"/>
      <c r="M20" s="232"/>
    </row>
  </sheetData>
  <sheetProtection algorithmName="SHA-512" hashValue="Vl9b5iAZ0xnL9EaZwJnbsxBAYJva6sP1iffH/EeR8LYAQnbcEoSWu1uL147IpRmdAmp//O/ahTLRN02WDnSOnQ==" saltValue="tKbJ+asLLfkpD75Y1ZQ2dA==" spinCount="100000" sheet="1" objects="1" scenarios="1"/>
  <mergeCells count="2">
    <mergeCell ref="F2:I2"/>
    <mergeCell ref="F5:G5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Plan111"/>
  <dimension ref="A1:C94"/>
  <sheetViews>
    <sheetView workbookViewId="0">
      <selection activeCell="B2" sqref="B2:E2"/>
    </sheetView>
  </sheetViews>
  <sheetFormatPr defaultColWidth="9.140625" defaultRowHeight="12.75"/>
  <cols>
    <col min="1" max="1" width="42" style="171" customWidth="1"/>
    <col min="2" max="3" width="18.42578125" style="171" customWidth="1"/>
    <col min="4" max="16384" width="9.140625" style="171"/>
  </cols>
  <sheetData>
    <row r="1" spans="1:3" ht="13.5" thickBot="1"/>
    <row r="2" spans="1:3" ht="14.25" thickTop="1" thickBot="1">
      <c r="A2" s="556" t="s">
        <v>233</v>
      </c>
      <c r="B2" s="557" t="s">
        <v>234</v>
      </c>
      <c r="C2" s="465"/>
    </row>
    <row r="3" spans="1:3" ht="13.5" thickBot="1">
      <c r="A3" s="475"/>
      <c r="B3" s="189" t="s">
        <v>235</v>
      </c>
      <c r="C3" s="194" t="s">
        <v>236</v>
      </c>
    </row>
    <row r="4" spans="1:3" ht="13.5" thickBot="1">
      <c r="A4" s="555" t="s">
        <v>237</v>
      </c>
      <c r="B4" s="555"/>
      <c r="C4" s="555"/>
    </row>
    <row r="5" spans="1:3" ht="26.25" thickBot="1">
      <c r="A5" s="233" t="s">
        <v>238</v>
      </c>
      <c r="B5" s="192" t="s">
        <v>239</v>
      </c>
      <c r="C5" s="193" t="s">
        <v>240</v>
      </c>
    </row>
    <row r="6" spans="1:3" ht="13.5" thickBot="1">
      <c r="A6" s="233" t="s">
        <v>241</v>
      </c>
      <c r="B6" s="192" t="s">
        <v>242</v>
      </c>
      <c r="C6" s="193" t="s">
        <v>242</v>
      </c>
    </row>
    <row r="7" spans="1:3" ht="13.5" thickBot="1">
      <c r="A7" s="233" t="s">
        <v>243</v>
      </c>
      <c r="B7" s="192" t="s">
        <v>244</v>
      </c>
      <c r="C7" s="193" t="s">
        <v>244</v>
      </c>
    </row>
    <row r="8" spans="1:3" ht="13.5" thickBot="1">
      <c r="A8" s="233" t="s">
        <v>245</v>
      </c>
      <c r="B8" s="192" t="s">
        <v>246</v>
      </c>
      <c r="C8" s="193" t="s">
        <v>246</v>
      </c>
    </row>
    <row r="9" spans="1:3" ht="13.5" thickBot="1">
      <c r="A9" s="233" t="s">
        <v>247</v>
      </c>
      <c r="B9" s="192" t="s">
        <v>248</v>
      </c>
      <c r="C9" s="193" t="s">
        <v>248</v>
      </c>
    </row>
    <row r="10" spans="1:3" ht="13.5" thickBot="1">
      <c r="A10" s="555" t="s">
        <v>249</v>
      </c>
      <c r="B10" s="555"/>
      <c r="C10" s="555"/>
    </row>
    <row r="11" spans="1:3" ht="13.5" thickBot="1">
      <c r="A11" s="233" t="s">
        <v>238</v>
      </c>
      <c r="B11" s="192" t="s">
        <v>239</v>
      </c>
      <c r="C11" s="193" t="s">
        <v>239</v>
      </c>
    </row>
    <row r="12" spans="1:3" ht="13.5" thickBot="1">
      <c r="A12" s="233" t="s">
        <v>241</v>
      </c>
      <c r="B12" s="192" t="s">
        <v>250</v>
      </c>
      <c r="C12" s="193" t="s">
        <v>250</v>
      </c>
    </row>
    <row r="13" spans="1:3" ht="13.5" thickBot="1">
      <c r="A13" s="233" t="s">
        <v>251</v>
      </c>
      <c r="B13" s="192" t="s">
        <v>252</v>
      </c>
      <c r="C13" s="193" t="s">
        <v>252</v>
      </c>
    </row>
    <row r="14" spans="1:3" ht="13.5" thickBot="1">
      <c r="A14" s="233" t="s">
        <v>247</v>
      </c>
      <c r="B14" s="192" t="s">
        <v>253</v>
      </c>
      <c r="C14" s="193" t="s">
        <v>253</v>
      </c>
    </row>
    <row r="15" spans="1:3" ht="13.5" thickBot="1">
      <c r="A15" s="555" t="s">
        <v>254</v>
      </c>
      <c r="B15" s="555"/>
      <c r="C15" s="555"/>
    </row>
    <row r="16" spans="1:3" ht="13.5" thickBot="1">
      <c r="A16" s="233" t="s">
        <v>238</v>
      </c>
      <c r="B16" s="192" t="s">
        <v>239</v>
      </c>
      <c r="C16" s="193" t="s">
        <v>239</v>
      </c>
    </row>
    <row r="17" spans="1:3" ht="13.5" thickBot="1">
      <c r="A17" s="233" t="s">
        <v>255</v>
      </c>
      <c r="B17" s="192" t="s">
        <v>250</v>
      </c>
      <c r="C17" s="193" t="s">
        <v>250</v>
      </c>
    </row>
    <row r="18" spans="1:3" ht="13.5" thickBot="1">
      <c r="A18" s="233" t="s">
        <v>247</v>
      </c>
      <c r="B18" s="192" t="s">
        <v>248</v>
      </c>
      <c r="C18" s="193" t="s">
        <v>253</v>
      </c>
    </row>
    <row r="19" spans="1:3" ht="13.5" thickBot="1">
      <c r="A19" s="555" t="s">
        <v>256</v>
      </c>
      <c r="B19" s="555"/>
      <c r="C19" s="555"/>
    </row>
    <row r="20" spans="1:3" ht="13.5" thickBot="1">
      <c r="A20" s="233" t="s">
        <v>238</v>
      </c>
      <c r="B20" s="192" t="s">
        <v>239</v>
      </c>
      <c r="C20" s="193" t="s">
        <v>239</v>
      </c>
    </row>
    <row r="21" spans="1:3" ht="13.5" thickBot="1">
      <c r="A21" s="233" t="s">
        <v>241</v>
      </c>
      <c r="B21" s="192" t="s">
        <v>257</v>
      </c>
      <c r="C21" s="193" t="s">
        <v>257</v>
      </c>
    </row>
    <row r="22" spans="1:3" ht="13.5" thickBot="1">
      <c r="A22" s="233" t="s">
        <v>247</v>
      </c>
      <c r="B22" s="192" t="s">
        <v>248</v>
      </c>
      <c r="C22" s="193" t="s">
        <v>253</v>
      </c>
    </row>
    <row r="23" spans="1:3" ht="13.5" thickBot="1">
      <c r="A23" s="555" t="s">
        <v>258</v>
      </c>
      <c r="B23" s="555"/>
      <c r="C23" s="555"/>
    </row>
    <row r="24" spans="1:3" ht="13.5" thickBot="1">
      <c r="A24" s="233" t="s">
        <v>238</v>
      </c>
      <c r="B24" s="192" t="s">
        <v>239</v>
      </c>
      <c r="C24" s="193" t="s">
        <v>239</v>
      </c>
    </row>
    <row r="25" spans="1:3" ht="13.5" thickBot="1">
      <c r="A25" s="233" t="s">
        <v>255</v>
      </c>
      <c r="B25" s="192" t="s">
        <v>250</v>
      </c>
      <c r="C25" s="193" t="s">
        <v>250</v>
      </c>
    </row>
    <row r="26" spans="1:3" ht="13.5" thickBot="1">
      <c r="A26" s="233" t="s">
        <v>259</v>
      </c>
      <c r="B26" s="192" t="s">
        <v>260</v>
      </c>
      <c r="C26" s="193" t="s">
        <v>260</v>
      </c>
    </row>
    <row r="27" spans="1:3" ht="13.5" thickBot="1">
      <c r="A27" s="233" t="s">
        <v>247</v>
      </c>
      <c r="B27" s="192" t="s">
        <v>248</v>
      </c>
      <c r="C27" s="193" t="s">
        <v>253</v>
      </c>
    </row>
    <row r="28" spans="1:3" ht="13.5" thickBot="1">
      <c r="A28" s="555" t="s">
        <v>261</v>
      </c>
      <c r="B28" s="555"/>
      <c r="C28" s="555"/>
    </row>
    <row r="29" spans="1:3" ht="13.5" thickBot="1">
      <c r="A29" s="233" t="s">
        <v>238</v>
      </c>
      <c r="B29" s="192" t="s">
        <v>262</v>
      </c>
      <c r="C29" s="193" t="s">
        <v>262</v>
      </c>
    </row>
    <row r="30" spans="1:3" ht="13.5" thickBot="1">
      <c r="A30" s="233" t="s">
        <v>263</v>
      </c>
      <c r="B30" s="192" t="s">
        <v>244</v>
      </c>
      <c r="C30" s="193" t="s">
        <v>244</v>
      </c>
    </row>
    <row r="31" spans="1:3" ht="13.5" thickBot="1">
      <c r="A31" s="233" t="s">
        <v>247</v>
      </c>
      <c r="B31" s="192" t="s">
        <v>248</v>
      </c>
      <c r="C31" s="193" t="s">
        <v>248</v>
      </c>
    </row>
    <row r="32" spans="1:3" ht="13.5" thickBot="1">
      <c r="A32" s="234" t="s">
        <v>264</v>
      </c>
      <c r="B32" s="192" t="s">
        <v>265</v>
      </c>
      <c r="C32" s="193" t="s">
        <v>189</v>
      </c>
    </row>
    <row r="33" spans="1:3" ht="51.75" customHeight="1" thickBot="1">
      <c r="A33" s="235" t="s">
        <v>266</v>
      </c>
      <c r="B33" s="558" t="s">
        <v>267</v>
      </c>
      <c r="C33" s="559"/>
    </row>
    <row r="34" spans="1:3" ht="13.5" thickBot="1">
      <c r="A34" s="234" t="s">
        <v>268</v>
      </c>
      <c r="B34" s="192" t="s">
        <v>189</v>
      </c>
      <c r="C34" s="193" t="s">
        <v>189</v>
      </c>
    </row>
    <row r="35" spans="1:3" ht="13.5" thickBot="1">
      <c r="A35" s="233" t="s">
        <v>269</v>
      </c>
      <c r="B35" s="192" t="s">
        <v>270</v>
      </c>
      <c r="C35" s="193" t="s">
        <v>270</v>
      </c>
    </row>
    <row r="36" spans="1:3" ht="26.25" thickBot="1">
      <c r="A36" s="233" t="s">
        <v>271</v>
      </c>
      <c r="B36" s="192" t="s">
        <v>272</v>
      </c>
      <c r="C36" s="193" t="s">
        <v>272</v>
      </c>
    </row>
    <row r="37" spans="1:3" ht="13.5" thickBot="1">
      <c r="A37" s="234" t="s">
        <v>273</v>
      </c>
      <c r="B37" s="192" t="s">
        <v>274</v>
      </c>
      <c r="C37" s="193" t="s">
        <v>275</v>
      </c>
    </row>
    <row r="38" spans="1:3" ht="13.5" thickBot="1">
      <c r="A38" s="560" t="s">
        <v>276</v>
      </c>
      <c r="B38" s="560"/>
      <c r="C38" s="560"/>
    </row>
    <row r="39" spans="1:3" ht="13.5" thickBot="1">
      <c r="A39" s="235" t="s">
        <v>277</v>
      </c>
      <c r="B39" s="185" t="s">
        <v>278</v>
      </c>
      <c r="C39" s="186" t="s">
        <v>279</v>
      </c>
    </row>
    <row r="40" spans="1:3" ht="13.5" thickBot="1">
      <c r="A40" s="235" t="s">
        <v>280</v>
      </c>
      <c r="B40" s="185" t="s">
        <v>281</v>
      </c>
      <c r="C40" s="186" t="s">
        <v>282</v>
      </c>
    </row>
    <row r="41" spans="1:3" ht="13.5" thickBot="1">
      <c r="A41" s="555" t="s">
        <v>283</v>
      </c>
      <c r="B41" s="555"/>
      <c r="C41" s="555"/>
    </row>
    <row r="42" spans="1:3" ht="13.5" thickBot="1">
      <c r="A42" s="233" t="s">
        <v>238</v>
      </c>
      <c r="B42" s="192" t="s">
        <v>239</v>
      </c>
      <c r="C42" s="193" t="s">
        <v>239</v>
      </c>
    </row>
    <row r="43" spans="1:3" ht="13.5" thickBot="1">
      <c r="A43" s="233" t="s">
        <v>284</v>
      </c>
      <c r="B43" s="192" t="s">
        <v>285</v>
      </c>
      <c r="C43" s="193" t="s">
        <v>285</v>
      </c>
    </row>
    <row r="44" spans="1:3" ht="39" thickBot="1">
      <c r="A44" s="233" t="s">
        <v>286</v>
      </c>
      <c r="B44" s="192" t="s">
        <v>287</v>
      </c>
      <c r="C44" s="193" t="s">
        <v>288</v>
      </c>
    </row>
    <row r="45" spans="1:3" ht="13.5" thickBot="1">
      <c r="A45" s="233" t="s">
        <v>289</v>
      </c>
      <c r="B45" s="192" t="s">
        <v>159</v>
      </c>
      <c r="C45" s="193" t="s">
        <v>159</v>
      </c>
    </row>
    <row r="46" spans="1:3" ht="13.5" thickBot="1">
      <c r="A46" s="233" t="s">
        <v>290</v>
      </c>
      <c r="B46" s="192" t="s">
        <v>291</v>
      </c>
      <c r="C46" s="193" t="s">
        <v>291</v>
      </c>
    </row>
    <row r="47" spans="1:3" ht="13.5" thickBot="1">
      <c r="A47" s="233" t="s">
        <v>292</v>
      </c>
      <c r="B47" s="502" t="s">
        <v>293</v>
      </c>
      <c r="C47" s="510"/>
    </row>
    <row r="48" spans="1:3" ht="13.5" thickBot="1">
      <c r="A48" s="233" t="s">
        <v>294</v>
      </c>
      <c r="B48" s="502" t="s">
        <v>295</v>
      </c>
      <c r="C48" s="510"/>
    </row>
    <row r="49" spans="1:3" ht="13.5" thickBot="1">
      <c r="A49" s="469" t="s">
        <v>296</v>
      </c>
      <c r="B49" s="561" t="s">
        <v>234</v>
      </c>
      <c r="C49" s="562"/>
    </row>
    <row r="50" spans="1:3" ht="13.5" thickBot="1">
      <c r="A50" s="475"/>
      <c r="B50" s="189" t="s">
        <v>235</v>
      </c>
      <c r="C50" s="194" t="s">
        <v>236</v>
      </c>
    </row>
    <row r="51" spans="1:3" ht="13.5" thickBot="1">
      <c r="A51" s="555" t="s">
        <v>237</v>
      </c>
      <c r="B51" s="555"/>
      <c r="C51" s="555"/>
    </row>
    <row r="52" spans="1:3" ht="26.25" thickBot="1">
      <c r="A52" s="235" t="s">
        <v>238</v>
      </c>
      <c r="B52" s="185" t="s">
        <v>297</v>
      </c>
      <c r="C52" s="186" t="s">
        <v>298</v>
      </c>
    </row>
    <row r="53" spans="1:3" ht="13.5" thickBot="1">
      <c r="A53" s="235" t="s">
        <v>241</v>
      </c>
      <c r="B53" s="185" t="s">
        <v>242</v>
      </c>
      <c r="C53" s="186" t="s">
        <v>242</v>
      </c>
    </row>
    <row r="54" spans="1:3" ht="13.5" thickBot="1">
      <c r="A54" s="235" t="s">
        <v>243</v>
      </c>
      <c r="B54" s="185" t="s">
        <v>299</v>
      </c>
      <c r="C54" s="186" t="s">
        <v>299</v>
      </c>
    </row>
    <row r="55" spans="1:3" ht="13.5" thickBot="1">
      <c r="A55" s="235" t="s">
        <v>245</v>
      </c>
      <c r="B55" s="185" t="s">
        <v>246</v>
      </c>
      <c r="C55" s="186" t="s">
        <v>246</v>
      </c>
    </row>
    <row r="56" spans="1:3" ht="13.5" thickBot="1">
      <c r="A56" s="235" t="s">
        <v>247</v>
      </c>
      <c r="B56" s="185" t="s">
        <v>300</v>
      </c>
      <c r="C56" s="186" t="s">
        <v>300</v>
      </c>
    </row>
    <row r="57" spans="1:3" ht="13.5" thickBot="1">
      <c r="A57" s="555" t="s">
        <v>249</v>
      </c>
      <c r="B57" s="555"/>
      <c r="C57" s="555"/>
    </row>
    <row r="58" spans="1:3" ht="13.5" thickBot="1">
      <c r="A58" s="235" t="s">
        <v>238</v>
      </c>
      <c r="B58" s="185" t="s">
        <v>301</v>
      </c>
      <c r="C58" s="186" t="s">
        <v>301</v>
      </c>
    </row>
    <row r="59" spans="1:3" ht="13.5" thickBot="1">
      <c r="A59" s="235" t="s">
        <v>241</v>
      </c>
      <c r="B59" s="185" t="s">
        <v>250</v>
      </c>
      <c r="C59" s="186" t="s">
        <v>250</v>
      </c>
    </row>
    <row r="60" spans="1:3" ht="13.5" thickBot="1">
      <c r="A60" s="235" t="s">
        <v>247</v>
      </c>
      <c r="B60" s="185" t="s">
        <v>300</v>
      </c>
      <c r="C60" s="186" t="s">
        <v>300</v>
      </c>
    </row>
    <row r="61" spans="1:3" ht="13.5" thickBot="1">
      <c r="A61" s="555" t="s">
        <v>254</v>
      </c>
      <c r="B61" s="555"/>
      <c r="C61" s="555"/>
    </row>
    <row r="62" spans="1:3" ht="13.5" thickBot="1">
      <c r="A62" s="235" t="s">
        <v>238</v>
      </c>
      <c r="B62" s="185" t="s">
        <v>301</v>
      </c>
      <c r="C62" s="186" t="s">
        <v>301</v>
      </c>
    </row>
    <row r="63" spans="1:3" ht="13.5" thickBot="1">
      <c r="A63" s="235" t="s">
        <v>255</v>
      </c>
      <c r="B63" s="185" t="s">
        <v>250</v>
      </c>
      <c r="C63" s="186" t="s">
        <v>250</v>
      </c>
    </row>
    <row r="64" spans="1:3" ht="13.5" thickBot="1">
      <c r="A64" s="235" t="s">
        <v>247</v>
      </c>
      <c r="B64" s="185" t="s">
        <v>300</v>
      </c>
      <c r="C64" s="186" t="s">
        <v>300</v>
      </c>
    </row>
    <row r="65" spans="1:3" ht="13.5" thickBot="1">
      <c r="A65" s="555" t="s">
        <v>256</v>
      </c>
      <c r="B65" s="555"/>
      <c r="C65" s="555"/>
    </row>
    <row r="66" spans="1:3" ht="13.5" thickBot="1">
      <c r="A66" s="235" t="s">
        <v>238</v>
      </c>
      <c r="B66" s="185" t="s">
        <v>301</v>
      </c>
      <c r="C66" s="186" t="s">
        <v>301</v>
      </c>
    </row>
    <row r="67" spans="1:3" ht="13.5" thickBot="1">
      <c r="A67" s="235" t="s">
        <v>241</v>
      </c>
      <c r="B67" s="185" t="s">
        <v>257</v>
      </c>
      <c r="C67" s="186" t="s">
        <v>257</v>
      </c>
    </row>
    <row r="68" spans="1:3" ht="13.5" thickBot="1">
      <c r="A68" s="235" t="s">
        <v>247</v>
      </c>
      <c r="B68" s="185" t="s">
        <v>300</v>
      </c>
      <c r="C68" s="186" t="s">
        <v>300</v>
      </c>
    </row>
    <row r="69" spans="1:3" ht="13.5" thickBot="1">
      <c r="A69" s="560" t="s">
        <v>258</v>
      </c>
      <c r="B69" s="560"/>
      <c r="C69" s="560"/>
    </row>
    <row r="70" spans="1:3" ht="13.5" thickBot="1">
      <c r="A70" s="235" t="s">
        <v>238</v>
      </c>
      <c r="B70" s="185" t="s">
        <v>297</v>
      </c>
      <c r="C70" s="186" t="s">
        <v>297</v>
      </c>
    </row>
    <row r="71" spans="1:3" ht="13.5" thickBot="1">
      <c r="A71" s="235" t="s">
        <v>255</v>
      </c>
      <c r="B71" s="185" t="s">
        <v>250</v>
      </c>
      <c r="C71" s="186" t="s">
        <v>250</v>
      </c>
    </row>
    <row r="72" spans="1:3" ht="13.5" thickBot="1">
      <c r="A72" s="235" t="s">
        <v>259</v>
      </c>
      <c r="B72" s="185" t="s">
        <v>260</v>
      </c>
      <c r="C72" s="186" t="s">
        <v>260</v>
      </c>
    </row>
    <row r="73" spans="1:3" ht="13.5" thickBot="1">
      <c r="A73" s="235" t="s">
        <v>247</v>
      </c>
      <c r="B73" s="185" t="s">
        <v>302</v>
      </c>
      <c r="C73" s="186" t="s">
        <v>302</v>
      </c>
    </row>
    <row r="74" spans="1:3" ht="13.5" thickBot="1">
      <c r="A74" s="560" t="s">
        <v>261</v>
      </c>
      <c r="B74" s="560"/>
      <c r="C74" s="560"/>
    </row>
    <row r="75" spans="1:3" ht="13.5" thickBot="1">
      <c r="A75" s="235" t="s">
        <v>238</v>
      </c>
      <c r="B75" s="185" t="s">
        <v>303</v>
      </c>
      <c r="C75" s="186" t="s">
        <v>303</v>
      </c>
    </row>
    <row r="76" spans="1:3" ht="13.5" thickBot="1">
      <c r="A76" s="235" t="s">
        <v>263</v>
      </c>
      <c r="B76" s="185" t="s">
        <v>244</v>
      </c>
      <c r="C76" s="186" t="s">
        <v>244</v>
      </c>
    </row>
    <row r="77" spans="1:3" ht="13.5" thickBot="1">
      <c r="A77" s="236" t="s">
        <v>264</v>
      </c>
      <c r="B77" s="185" t="s">
        <v>265</v>
      </c>
      <c r="C77" s="186" t="s">
        <v>189</v>
      </c>
    </row>
    <row r="78" spans="1:3" ht="13.5" thickBot="1">
      <c r="A78" s="235" t="s">
        <v>266</v>
      </c>
      <c r="B78" s="558" t="s">
        <v>267</v>
      </c>
      <c r="C78" s="559"/>
    </row>
    <row r="79" spans="1:3" ht="13.5" thickBot="1">
      <c r="A79" s="236" t="s">
        <v>268</v>
      </c>
      <c r="B79" s="185" t="s">
        <v>189</v>
      </c>
      <c r="C79" s="186" t="s">
        <v>189</v>
      </c>
    </row>
    <row r="80" spans="1:3" ht="13.5" thickBot="1">
      <c r="A80" s="235" t="s">
        <v>269</v>
      </c>
      <c r="B80" s="185" t="s">
        <v>304</v>
      </c>
      <c r="C80" s="186" t="s">
        <v>304</v>
      </c>
    </row>
    <row r="81" spans="1:3" ht="26.25" thickBot="1">
      <c r="A81" s="235" t="s">
        <v>271</v>
      </c>
      <c r="B81" s="185" t="s">
        <v>272</v>
      </c>
      <c r="C81" s="186" t="s">
        <v>272</v>
      </c>
    </row>
    <row r="82" spans="1:3" ht="13.5" thickBot="1">
      <c r="A82" s="236" t="s">
        <v>273</v>
      </c>
      <c r="B82" s="185" t="s">
        <v>275</v>
      </c>
      <c r="C82" s="186" t="s">
        <v>305</v>
      </c>
    </row>
    <row r="83" spans="1:3" ht="13.5" thickBot="1">
      <c r="A83" s="560" t="s">
        <v>276</v>
      </c>
      <c r="B83" s="560"/>
      <c r="C83" s="560"/>
    </row>
    <row r="84" spans="1:3" ht="13.5" thickBot="1">
      <c r="A84" s="235" t="s">
        <v>277</v>
      </c>
      <c r="B84" s="185" t="s">
        <v>306</v>
      </c>
      <c r="C84" s="186" t="s">
        <v>279</v>
      </c>
    </row>
    <row r="85" spans="1:3" ht="13.5" thickBot="1">
      <c r="A85" s="235" t="s">
        <v>280</v>
      </c>
      <c r="B85" s="185" t="s">
        <v>307</v>
      </c>
      <c r="C85" s="186" t="s">
        <v>308</v>
      </c>
    </row>
    <row r="86" spans="1:3" ht="13.5" thickBot="1">
      <c r="A86" s="560" t="s">
        <v>283</v>
      </c>
      <c r="B86" s="560"/>
      <c r="C86" s="560"/>
    </row>
    <row r="87" spans="1:3" ht="13.5" thickBot="1">
      <c r="A87" s="235" t="s">
        <v>238</v>
      </c>
      <c r="B87" s="185" t="s">
        <v>297</v>
      </c>
      <c r="C87" s="186" t="s">
        <v>297</v>
      </c>
    </row>
    <row r="88" spans="1:3" ht="13.5" thickBot="1">
      <c r="A88" s="235" t="s">
        <v>284</v>
      </c>
      <c r="B88" s="185" t="s">
        <v>297</v>
      </c>
      <c r="C88" s="186" t="s">
        <v>297</v>
      </c>
    </row>
    <row r="89" spans="1:3" ht="39" thickBot="1">
      <c r="A89" s="235" t="s">
        <v>286</v>
      </c>
      <c r="B89" s="185" t="s">
        <v>287</v>
      </c>
      <c r="C89" s="193" t="s">
        <v>288</v>
      </c>
    </row>
    <row r="90" spans="1:3" ht="13.5" thickBot="1">
      <c r="A90" s="235" t="s">
        <v>289</v>
      </c>
      <c r="B90" s="185" t="s">
        <v>160</v>
      </c>
      <c r="C90" s="186" t="s">
        <v>160</v>
      </c>
    </row>
    <row r="91" spans="1:3" ht="13.5" thickBot="1">
      <c r="A91" s="235" t="s">
        <v>290</v>
      </c>
      <c r="B91" s="185" t="s">
        <v>291</v>
      </c>
      <c r="C91" s="186" t="s">
        <v>291</v>
      </c>
    </row>
    <row r="92" spans="1:3" ht="13.5" thickBot="1">
      <c r="A92" s="235" t="s">
        <v>292</v>
      </c>
      <c r="B92" s="504" t="s">
        <v>293</v>
      </c>
      <c r="C92" s="506"/>
    </row>
    <row r="93" spans="1:3" ht="13.5" thickBot="1">
      <c r="A93" s="237" t="s">
        <v>309</v>
      </c>
      <c r="B93" s="537" t="s">
        <v>310</v>
      </c>
      <c r="C93" s="563"/>
    </row>
    <row r="94" spans="1:3" ht="13.5" thickTop="1"/>
  </sheetData>
  <sheetProtection algorithmName="SHA-512" hashValue="i1LvdMaAH2CPxF5dWOa7ihKWBNk6/iyiTdMfCUWh6QIJZUqSscTtMdYT73M/X2JOW0duNXKI3aS/hgQk/tc/Dg==" saltValue="Bl7MvFBqcYW7RwgpVKyp6w==" spinCount="100000" sheet="1" objects="1" scenarios="1"/>
  <mergeCells count="26">
    <mergeCell ref="B92:C92"/>
    <mergeCell ref="B93:C93"/>
    <mergeCell ref="A65:C65"/>
    <mergeCell ref="A69:C69"/>
    <mergeCell ref="A74:C74"/>
    <mergeCell ref="B78:C78"/>
    <mergeCell ref="A83:C83"/>
    <mergeCell ref="A86:C86"/>
    <mergeCell ref="A61:C61"/>
    <mergeCell ref="A23:C23"/>
    <mergeCell ref="A28:C28"/>
    <mergeCell ref="B33:C33"/>
    <mergeCell ref="A38:C38"/>
    <mergeCell ref="A41:C41"/>
    <mergeCell ref="B47:C47"/>
    <mergeCell ref="B48:C48"/>
    <mergeCell ref="A49:A50"/>
    <mergeCell ref="B49:C49"/>
    <mergeCell ref="A51:C51"/>
    <mergeCell ref="A57:C57"/>
    <mergeCell ref="A19:C19"/>
    <mergeCell ref="A2:A3"/>
    <mergeCell ref="B2:C2"/>
    <mergeCell ref="A4:C4"/>
    <mergeCell ref="A10:C10"/>
    <mergeCell ref="A15:C1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4"/>
  <dimension ref="B1:I49"/>
  <sheetViews>
    <sheetView showGridLines="0" zoomScale="67" workbookViewId="0">
      <selection activeCell="C23" sqref="C23"/>
    </sheetView>
  </sheetViews>
  <sheetFormatPr defaultColWidth="15.85546875" defaultRowHeight="12.75"/>
  <cols>
    <col min="1" max="3" width="15.85546875" style="171"/>
    <col min="4" max="4" width="19.7109375" style="171" customWidth="1"/>
    <col min="5" max="16384" width="15.85546875" style="171"/>
  </cols>
  <sheetData>
    <row r="1" spans="2:9" ht="13.5" thickBot="1"/>
    <row r="2" spans="2:9" ht="31.5" customHeight="1" thickBot="1">
      <c r="B2" s="238"/>
      <c r="C2" s="550" t="s">
        <v>35</v>
      </c>
      <c r="D2" s="564"/>
      <c r="E2" s="239" t="s">
        <v>311</v>
      </c>
      <c r="F2" s="239"/>
      <c r="G2" s="239"/>
      <c r="H2" s="240"/>
      <c r="I2" s="241"/>
    </row>
    <row r="3" spans="2:9" ht="13.5" thickBot="1">
      <c r="B3" s="70"/>
      <c r="I3" s="242"/>
    </row>
    <row r="4" spans="2:9">
      <c r="B4" s="70"/>
      <c r="E4" s="243" t="s">
        <v>312</v>
      </c>
      <c r="F4" s="244" t="s">
        <v>313</v>
      </c>
      <c r="I4" s="242"/>
    </row>
    <row r="5" spans="2:9">
      <c r="B5" s="70"/>
      <c r="E5" s="245">
        <v>0.5</v>
      </c>
      <c r="F5" s="246">
        <v>1.306</v>
      </c>
      <c r="G5" s="247">
        <f>(TAN(ACOS(E5))-TAN(ACOS(0.92)))</f>
        <v>1.3060525914326722</v>
      </c>
      <c r="I5" s="242"/>
    </row>
    <row r="6" spans="2:9">
      <c r="B6" s="70"/>
      <c r="E6" s="245">
        <v>0.51</v>
      </c>
      <c r="F6" s="246">
        <v>1.2609999999999999</v>
      </c>
      <c r="G6" s="247">
        <f t="shared" ref="G6:G47" si="0">(TAN(ACOS(E6))-TAN(ACOS(0.92)))</f>
        <v>1.2606182562581398</v>
      </c>
      <c r="I6" s="242"/>
    </row>
    <row r="7" spans="2:9">
      <c r="B7" s="70"/>
      <c r="E7" s="245">
        <v>0.52</v>
      </c>
      <c r="F7" s="246">
        <v>1.2170000000000001</v>
      </c>
      <c r="G7" s="247">
        <f t="shared" si="0"/>
        <v>1.2166292072532279</v>
      </c>
      <c r="I7" s="242"/>
    </row>
    <row r="8" spans="2:9">
      <c r="B8" s="70"/>
      <c r="E8" s="245">
        <v>0.53</v>
      </c>
      <c r="F8" s="246">
        <v>1.1739999999999999</v>
      </c>
      <c r="G8" s="247">
        <f t="shared" si="0"/>
        <v>1.1739973338754066</v>
      </c>
      <c r="I8" s="242"/>
    </row>
    <row r="9" spans="2:9">
      <c r="B9" s="70"/>
      <c r="E9" s="245">
        <v>0.54</v>
      </c>
      <c r="F9" s="246">
        <v>1.133</v>
      </c>
      <c r="G9" s="247">
        <f t="shared" si="0"/>
        <v>1.1326407033082992</v>
      </c>
      <c r="I9" s="242"/>
    </row>
    <row r="10" spans="2:9">
      <c r="B10" s="70"/>
      <c r="E10" s="245">
        <v>0.55000000000000004</v>
      </c>
      <c r="F10" s="246">
        <v>1.0920000000000001</v>
      </c>
      <c r="G10" s="247">
        <f t="shared" si="0"/>
        <v>1.0924829737265283</v>
      </c>
      <c r="I10" s="242"/>
    </row>
    <row r="11" spans="2:9">
      <c r="B11" s="70"/>
      <c r="E11" s="245">
        <v>0.56000000000000005</v>
      </c>
      <c r="F11" s="246">
        <v>1.0529999999999999</v>
      </c>
      <c r="G11" s="247">
        <f t="shared" si="0"/>
        <v>1.053452867950079</v>
      </c>
      <c r="I11" s="242"/>
    </row>
    <row r="12" spans="2:9">
      <c r="B12" s="70"/>
      <c r="E12" s="245">
        <v>0.56999999999999995</v>
      </c>
      <c r="F12" s="246">
        <v>1.0149999999999999</v>
      </c>
      <c r="G12" s="247">
        <f t="shared" si="0"/>
        <v>1.015483699768811</v>
      </c>
      <c r="I12" s="242"/>
    </row>
    <row r="13" spans="2:9">
      <c r="B13" s="70"/>
      <c r="E13" s="245">
        <v>0.57999999999999996</v>
      </c>
      <c r="F13" s="246">
        <v>0.97899999999999998</v>
      </c>
      <c r="G13" s="247">
        <f t="shared" si="0"/>
        <v>0.97851294623733343</v>
      </c>
      <c r="I13" s="242"/>
    </row>
    <row r="14" spans="2:9">
      <c r="B14" s="70"/>
      <c r="E14" s="245">
        <v>0.59</v>
      </c>
      <c r="F14" s="246">
        <v>0.94199999999999995</v>
      </c>
      <c r="G14" s="247">
        <f t="shared" si="0"/>
        <v>0.94248186009663959</v>
      </c>
      <c r="I14" s="242"/>
    </row>
    <row r="15" spans="2:9">
      <c r="B15" s="70"/>
      <c r="E15" s="245">
        <v>0.6</v>
      </c>
      <c r="F15" s="246">
        <v>0.90700000000000003</v>
      </c>
      <c r="G15" s="247">
        <f t="shared" si="0"/>
        <v>0.90733511719712867</v>
      </c>
      <c r="I15" s="242"/>
    </row>
    <row r="16" spans="2:9">
      <c r="B16" s="70"/>
      <c r="E16" s="245">
        <v>0.61</v>
      </c>
      <c r="F16" s="246">
        <v>0.873</v>
      </c>
      <c r="G16" s="247">
        <f t="shared" si="0"/>
        <v>0.87302049439871543</v>
      </c>
      <c r="I16" s="242"/>
    </row>
    <row r="17" spans="2:9">
      <c r="B17" s="70"/>
      <c r="E17" s="245">
        <v>0.62</v>
      </c>
      <c r="F17" s="246">
        <v>0.83899999999999997</v>
      </c>
      <c r="G17" s="247">
        <f t="shared" si="0"/>
        <v>0.83948857392399079</v>
      </c>
      <c r="I17" s="242"/>
    </row>
    <row r="18" spans="2:9">
      <c r="B18" s="70"/>
      <c r="E18" s="245">
        <v>0.63</v>
      </c>
      <c r="F18" s="246">
        <v>0.80700000000000005</v>
      </c>
      <c r="G18" s="247">
        <f t="shared" si="0"/>
        <v>0.80669247055293347</v>
      </c>
      <c r="I18" s="242"/>
    </row>
    <row r="19" spans="2:9">
      <c r="B19" s="70"/>
      <c r="E19" s="245">
        <v>0.64</v>
      </c>
      <c r="F19" s="246">
        <v>0.77500000000000002</v>
      </c>
      <c r="G19" s="247">
        <f t="shared" si="0"/>
        <v>0.77458757838245429</v>
      </c>
      <c r="I19" s="242"/>
    </row>
    <row r="20" spans="2:9">
      <c r="B20" s="70"/>
      <c r="E20" s="245">
        <v>0.65</v>
      </c>
      <c r="F20" s="246">
        <v>0.74299999999999999</v>
      </c>
      <c r="G20" s="247">
        <f t="shared" si="0"/>
        <v>0.74313133413846177</v>
      </c>
      <c r="I20" s="242"/>
    </row>
    <row r="21" spans="2:9">
      <c r="B21" s="70"/>
      <c r="E21" s="245">
        <v>0.66</v>
      </c>
      <c r="F21" s="246">
        <v>0.71199999999999997</v>
      </c>
      <c r="G21" s="247">
        <f t="shared" si="0"/>
        <v>0.71228299422700436</v>
      </c>
      <c r="I21" s="242"/>
    </row>
    <row r="22" spans="2:9">
      <c r="B22" s="70"/>
      <c r="E22" s="245">
        <v>0.67</v>
      </c>
      <c r="F22" s="246">
        <v>0.68200000000000005</v>
      </c>
      <c r="G22" s="247">
        <f t="shared" si="0"/>
        <v>0.68200342284692739</v>
      </c>
      <c r="I22" s="242"/>
    </row>
    <row r="23" spans="2:9">
      <c r="B23" s="70"/>
      <c r="E23" s="245">
        <v>0.68</v>
      </c>
      <c r="F23" s="246">
        <v>0.65200000000000002</v>
      </c>
      <c r="G23" s="247">
        <f t="shared" si="0"/>
        <v>0.65225488855928693</v>
      </c>
      <c r="I23" s="242"/>
    </row>
    <row r="24" spans="2:9">
      <c r="B24" s="70"/>
      <c r="E24" s="245">
        <v>0.69</v>
      </c>
      <c r="F24" s="246">
        <v>0.623</v>
      </c>
      <c r="G24" s="247">
        <f t="shared" si="0"/>
        <v>0.62300086671582866</v>
      </c>
      <c r="I24" s="242"/>
    </row>
    <row r="25" spans="2:9">
      <c r="B25" s="70"/>
      <c r="E25" s="245">
        <v>0.7</v>
      </c>
      <c r="F25" s="246">
        <v>0.59399999999999997</v>
      </c>
      <c r="G25" s="247">
        <f t="shared" si="0"/>
        <v>0.59420584508420249</v>
      </c>
      <c r="I25" s="242"/>
    </row>
    <row r="26" spans="2:9">
      <c r="B26" s="70"/>
      <c r="E26" s="245">
        <v>0.71</v>
      </c>
      <c r="F26" s="246">
        <v>0.56599999999999995</v>
      </c>
      <c r="G26" s="247">
        <f t="shared" si="0"/>
        <v>0.56583512986144358</v>
      </c>
      <c r="I26" s="242"/>
    </row>
    <row r="27" spans="2:9">
      <c r="B27" s="70"/>
      <c r="E27" s="245">
        <v>0.72</v>
      </c>
      <c r="F27" s="246">
        <v>0.53800000000000003</v>
      </c>
      <c r="G27" s="247">
        <f t="shared" si="0"/>
        <v>0.5378546490247661</v>
      </c>
      <c r="I27" s="242"/>
    </row>
    <row r="28" spans="2:9">
      <c r="B28" s="70"/>
      <c r="E28" s="245">
        <v>0.73</v>
      </c>
      <c r="F28" s="246">
        <v>0.51</v>
      </c>
      <c r="G28" s="247">
        <f t="shared" si="0"/>
        <v>0.51023074960855019</v>
      </c>
      <c r="I28" s="242"/>
    </row>
    <row r="29" spans="2:9">
      <c r="B29" s="70"/>
      <c r="E29" s="245">
        <v>0.74</v>
      </c>
      <c r="F29" s="246">
        <v>0.48299999999999998</v>
      </c>
      <c r="G29" s="247">
        <f t="shared" si="0"/>
        <v>0.48292998498813244</v>
      </c>
      <c r="I29" s="242"/>
    </row>
    <row r="30" spans="2:9">
      <c r="B30" s="70"/>
      <c r="E30" s="245">
        <v>0.75</v>
      </c>
      <c r="F30" s="246">
        <v>0.45600000000000002</v>
      </c>
      <c r="G30" s="247">
        <f t="shared" si="0"/>
        <v>0.45591888755199217</v>
      </c>
      <c r="I30" s="242"/>
    </row>
    <row r="31" spans="2:9">
      <c r="B31" s="70"/>
      <c r="E31" s="245">
        <v>0.76</v>
      </c>
      <c r="F31" s="246">
        <v>0.42899999999999999</v>
      </c>
      <c r="G31" s="247">
        <f t="shared" si="0"/>
        <v>0.42916372119389645</v>
      </c>
      <c r="I31" s="242"/>
    </row>
    <row r="32" spans="2:9">
      <c r="B32" s="70"/>
      <c r="E32" s="245">
        <v>0.77</v>
      </c>
      <c r="F32" s="246">
        <v>0.40300000000000002</v>
      </c>
      <c r="G32" s="247">
        <f t="shared" si="0"/>
        <v>0.40263020677025074</v>
      </c>
      <c r="I32" s="242"/>
    </row>
    <row r="33" spans="2:9">
      <c r="B33" s="70"/>
      <c r="E33" s="245">
        <v>0.78</v>
      </c>
      <c r="F33" s="246">
        <v>0.376</v>
      </c>
      <c r="G33" s="247">
        <f t="shared" si="0"/>
        <v>0.37628321192338565</v>
      </c>
      <c r="I33" s="242"/>
    </row>
    <row r="34" spans="2:9">
      <c r="B34" s="70"/>
      <c r="E34" s="245">
        <v>0.79</v>
      </c>
      <c r="F34" s="246">
        <v>0.35</v>
      </c>
      <c r="G34" s="247">
        <f t="shared" si="0"/>
        <v>0.35008639429262223</v>
      </c>
      <c r="I34" s="242"/>
    </row>
    <row r="35" spans="2:9">
      <c r="B35" s="70"/>
      <c r="E35" s="245">
        <v>0.8</v>
      </c>
      <c r="F35" s="246">
        <v>0.32400000000000001</v>
      </c>
      <c r="G35" s="247">
        <f t="shared" si="0"/>
        <v>0.32400178386379519</v>
      </c>
      <c r="I35" s="242"/>
    </row>
    <row r="36" spans="2:9">
      <c r="B36" s="70"/>
      <c r="E36" s="245">
        <v>0.81</v>
      </c>
      <c r="F36" s="246">
        <v>0.29799999999999999</v>
      </c>
      <c r="G36" s="247">
        <f t="shared" si="0"/>
        <v>0.29798928566111604</v>
      </c>
      <c r="I36" s="242"/>
    </row>
    <row r="37" spans="2:9">
      <c r="B37" s="70"/>
      <c r="E37" s="245">
        <v>0.82</v>
      </c>
      <c r="F37" s="246">
        <v>0.27200000000000002</v>
      </c>
      <c r="G37" s="247">
        <f t="shared" si="0"/>
        <v>0.27200607758351181</v>
      </c>
      <c r="I37" s="242"/>
    </row>
    <row r="38" spans="2:9">
      <c r="B38" s="70"/>
      <c r="E38" s="245">
        <v>0.83</v>
      </c>
      <c r="F38" s="246">
        <v>0.246</v>
      </c>
      <c r="G38" s="247">
        <f t="shared" si="0"/>
        <v>0.2460058690389445</v>
      </c>
      <c r="I38" s="242"/>
    </row>
    <row r="39" spans="2:9">
      <c r="B39" s="70"/>
      <c r="E39" s="245">
        <v>0.84</v>
      </c>
      <c r="F39" s="246">
        <v>0.22</v>
      </c>
      <c r="G39" s="247">
        <f t="shared" si="0"/>
        <v>0.21993797273286841</v>
      </c>
      <c r="I39" s="242"/>
    </row>
    <row r="40" spans="2:9">
      <c r="B40" s="70"/>
      <c r="E40" s="245">
        <v>0.85</v>
      </c>
      <c r="F40" s="246">
        <v>0.19400000000000001</v>
      </c>
      <c r="G40" s="247">
        <f t="shared" si="0"/>
        <v>0.19374612226689769</v>
      </c>
      <c r="I40" s="242"/>
    </row>
    <row r="41" spans="2:9">
      <c r="B41" s="70"/>
      <c r="E41" s="245">
        <v>0.86</v>
      </c>
      <c r="F41" s="246">
        <v>0.16700000000000001</v>
      </c>
      <c r="G41" s="247">
        <f t="shared" si="0"/>
        <v>0.16736693838347316</v>
      </c>
      <c r="I41" s="242"/>
    </row>
    <row r="42" spans="2:9">
      <c r="B42" s="70"/>
      <c r="E42" s="245">
        <v>0.87</v>
      </c>
      <c r="F42" s="246">
        <v>0.14099999999999999</v>
      </c>
      <c r="G42" s="247">
        <f t="shared" si="0"/>
        <v>0.14072790044407346</v>
      </c>
      <c r="I42" s="242"/>
    </row>
    <row r="43" spans="2:9">
      <c r="B43" s="70"/>
      <c r="E43" s="245">
        <v>0.88</v>
      </c>
      <c r="F43" s="246">
        <v>0.114</v>
      </c>
      <c r="G43" s="247">
        <f t="shared" si="0"/>
        <v>0.1137446060018823</v>
      </c>
      <c r="I43" s="242"/>
    </row>
    <row r="44" spans="2:9">
      <c r="B44" s="70"/>
      <c r="E44" s="245">
        <v>0.89</v>
      </c>
      <c r="F44" s="246">
        <v>8.5999999999999993E-2</v>
      </c>
      <c r="G44" s="247">
        <f t="shared" si="0"/>
        <v>8.6316980051570402E-2</v>
      </c>
      <c r="I44" s="242"/>
    </row>
    <row r="45" spans="2:9">
      <c r="B45" s="70"/>
      <c r="E45" s="245">
        <v>0.9</v>
      </c>
      <c r="F45" s="246">
        <v>5.8000000000000003E-2</v>
      </c>
      <c r="G45" s="247">
        <f t="shared" si="0"/>
        <v>5.8323888701647952E-2</v>
      </c>
      <c r="I45" s="242"/>
    </row>
    <row r="46" spans="2:9">
      <c r="B46" s="70"/>
      <c r="E46" s="245">
        <v>0.91</v>
      </c>
      <c r="F46" s="246">
        <v>0.03</v>
      </c>
      <c r="G46" s="247">
        <f t="shared" si="0"/>
        <v>2.9615244119353124E-2</v>
      </c>
      <c r="I46" s="242"/>
    </row>
    <row r="47" spans="2:9" ht="13.5" thickBot="1">
      <c r="B47" s="70"/>
      <c r="E47" s="248">
        <v>0.92</v>
      </c>
      <c r="F47" s="249">
        <v>0</v>
      </c>
      <c r="G47" s="247">
        <f t="shared" si="0"/>
        <v>0</v>
      </c>
      <c r="I47" s="242"/>
    </row>
    <row r="48" spans="2:9">
      <c r="B48" s="70"/>
      <c r="I48" s="242"/>
    </row>
    <row r="49" spans="2:9" ht="13.5" thickBot="1">
      <c r="B49" s="146"/>
      <c r="C49" s="147"/>
      <c r="D49" s="147"/>
      <c r="E49" s="147"/>
      <c r="F49" s="147"/>
      <c r="G49" s="147"/>
      <c r="H49" s="147"/>
      <c r="I49" s="148"/>
    </row>
  </sheetData>
  <mergeCells count="1">
    <mergeCell ref="C2:D2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B9E02F-8D3C-4F17-87D4-73B98F02C9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1EF1F5-0750-468B-80A9-DEAEEB426F74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771439e-f7ec-4b57-afbe-2a7a4c9395d1"/>
    <ds:schemaRef ds:uri="11974d13-bdb3-490e-8360-c1a65991798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A895E4-5C66-416B-B6BA-8B58DE2D5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QUADRO DE CARGAS</vt:lpstr>
      <vt:lpstr>SE AÉREA</vt:lpstr>
      <vt:lpstr>GERAL</vt:lpstr>
      <vt:lpstr>CÁLCULOS</vt:lpstr>
      <vt:lpstr>TAB 02</vt:lpstr>
      <vt:lpstr>TAB 03</vt:lpstr>
      <vt:lpstr>TAB 04</vt:lpstr>
      <vt:lpstr>TAB 19</vt:lpstr>
      <vt:lpstr>TAB 25</vt:lpstr>
      <vt:lpstr>Para Raios</vt:lpstr>
      <vt:lpstr>CÁLCULOS!Area_de_impressao</vt:lpstr>
      <vt:lpstr>'QUADRO DE CARGAS'!Area_de_impressao</vt:lpstr>
      <vt:lpstr>'SE AÉREA'!Area_de_impressao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Teixeira Carrera</dc:creator>
  <cp:keywords/>
  <dc:description/>
  <cp:lastModifiedBy>FABRICIO LUIS SILVA</cp:lastModifiedBy>
  <cp:revision/>
  <dcterms:created xsi:type="dcterms:W3CDTF">2014-03-21T19:43:42Z</dcterms:created>
  <dcterms:modified xsi:type="dcterms:W3CDTF">2023-10-25T12:02:25Z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84f6bf-f638-41cc-935f-2157ddac8142_Enabled">
    <vt:lpwstr>true</vt:lpwstr>
  </property>
  <property fmtid="{D5CDD505-2E9C-101B-9397-08002B2CF9AE}" pid="3" name="MSIP_Label_b284f6bf-f638-41cc-935f-2157ddac8142_SetDate">
    <vt:lpwstr>2023-03-10T21:05:51Z</vt:lpwstr>
  </property>
  <property fmtid="{D5CDD505-2E9C-101B-9397-08002B2CF9AE}" pid="4" name="MSIP_Label_b284f6bf-f638-41cc-935f-2157ddac8142_Method">
    <vt:lpwstr>Privileged</vt:lpwstr>
  </property>
  <property fmtid="{D5CDD505-2E9C-101B-9397-08002B2CF9AE}" pid="5" name="MSIP_Label_b284f6bf-f638-41cc-935f-2157ddac8142_Name">
    <vt:lpwstr>b284f6bf-f638-41cc-935f-2157ddac8142</vt:lpwstr>
  </property>
  <property fmtid="{D5CDD505-2E9C-101B-9397-08002B2CF9AE}" pid="6" name="MSIP_Label_b284f6bf-f638-41cc-935f-2157ddac8142_SiteId">
    <vt:lpwstr>d539d4bf-5610-471a-afc2-1c76685cfefa</vt:lpwstr>
  </property>
  <property fmtid="{D5CDD505-2E9C-101B-9397-08002B2CF9AE}" pid="7" name="MSIP_Label_b284f6bf-f638-41cc-935f-2157ddac8142_ActionId">
    <vt:lpwstr>8a60ce28-c5f8-4ddb-9961-78a1b55dffd0</vt:lpwstr>
  </property>
  <property fmtid="{D5CDD505-2E9C-101B-9397-08002B2CF9AE}" pid="8" name="MSIP_Label_b284f6bf-f638-41cc-935f-2157ddac8142_ContentBits">
    <vt:lpwstr>0</vt:lpwstr>
  </property>
  <property fmtid="{D5CDD505-2E9C-101B-9397-08002B2CF9AE}" pid="9" name="ContentTypeId">
    <vt:lpwstr>0x0101008CB1D7D57AAA0E4B90F99F37A1F37B73</vt:lpwstr>
  </property>
</Properties>
</file>