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workboard\ORDER_CENTER\"/>
    </mc:Choice>
  </mc:AlternateContent>
  <xr:revisionPtr revIDLastSave="0" documentId="8_{0E00947E-EFBE-429C-9B4B-37A602F66A10}" xr6:coauthVersionLast="47" xr6:coauthVersionMax="47" xr10:uidLastSave="{00000000-0000-0000-0000-000000000000}"/>
  <bookViews>
    <workbookView xWindow="-120" yWindow="-120" windowWidth="29040" windowHeight="15840" xr2:uid="{4A3DAEFA-9AA6-4C88-B1F0-A2BF87158649}"/>
  </bookViews>
  <sheets>
    <sheet name="SSL0710Q_20250715083400" sheetId="1" r:id="rId1"/>
  </sheets>
  <calcPr calcId="0"/>
</workbook>
</file>

<file path=xl/calcChain.xml><?xml version="1.0" encoding="utf-8"?>
<calcChain xmlns="http://schemas.openxmlformats.org/spreadsheetml/2006/main">
  <c r="K188" i="1" l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<sst xmlns="http://schemas.openxmlformats.org/spreadsheetml/2006/main" count="1513" uniqueCount="217">
  <si>
    <t>業務人員</t>
  </si>
  <si>
    <t/>
  </si>
  <si>
    <t>客戶代號</t>
  </si>
  <si>
    <t>客戶簡稱</t>
  </si>
  <si>
    <t>報單分類</t>
  </si>
  <si>
    <t>類別名稱</t>
  </si>
  <si>
    <t>公司S/C</t>
  </si>
  <si>
    <t>訂單日期</t>
  </si>
  <si>
    <t>確認日期</t>
  </si>
  <si>
    <t>生管交期</t>
  </si>
  <si>
    <t>預定交期</t>
  </si>
  <si>
    <t>接單數量(M)</t>
  </si>
  <si>
    <t>接單重量(KGS)</t>
  </si>
  <si>
    <t>幣別</t>
  </si>
  <si>
    <t>接單金額</t>
  </si>
  <si>
    <t>異動重量(KGS)</t>
  </si>
  <si>
    <t>異動金額</t>
  </si>
  <si>
    <t>SP000671</t>
  </si>
  <si>
    <t>顏劭仲</t>
  </si>
  <si>
    <t>B03500</t>
  </si>
  <si>
    <t>SUNCO</t>
  </si>
  <si>
    <t>STP</t>
  </si>
  <si>
    <t>攻牙螺絲</t>
  </si>
  <si>
    <t>25020001</t>
  </si>
  <si>
    <t>USD</t>
  </si>
  <si>
    <t>25020027</t>
  </si>
  <si>
    <t>25020035</t>
  </si>
  <si>
    <t>25030019</t>
  </si>
  <si>
    <t>25060028</t>
  </si>
  <si>
    <t>C00600</t>
  </si>
  <si>
    <t>PGB</t>
  </si>
  <si>
    <t>SDS</t>
  </si>
  <si>
    <t>鑽尾螺絲</t>
  </si>
  <si>
    <t>25010003</t>
  </si>
  <si>
    <t>EUR</t>
  </si>
  <si>
    <t>25020006</t>
  </si>
  <si>
    <t>25020025</t>
  </si>
  <si>
    <t>25040012</t>
  </si>
  <si>
    <t>25040025</t>
  </si>
  <si>
    <t>25050027</t>
  </si>
  <si>
    <t>25060006</t>
  </si>
  <si>
    <t>25070004</t>
  </si>
  <si>
    <t>SMS</t>
  </si>
  <si>
    <t>機械牙螺絲</t>
  </si>
  <si>
    <t>25040023</t>
  </si>
  <si>
    <t>25060021</t>
  </si>
  <si>
    <t>C01900</t>
  </si>
  <si>
    <t>REYHER</t>
  </si>
  <si>
    <t>SCB</t>
  </si>
  <si>
    <t>奇柏螺絲</t>
  </si>
  <si>
    <t>25070010</t>
  </si>
  <si>
    <t>25020013</t>
  </si>
  <si>
    <t>25040010</t>
  </si>
  <si>
    <t>25040017</t>
  </si>
  <si>
    <t>25060019</t>
  </si>
  <si>
    <t>25060026</t>
  </si>
  <si>
    <t>SDW</t>
  </si>
  <si>
    <t>乾牆螺絲</t>
  </si>
  <si>
    <t>25040019</t>
  </si>
  <si>
    <t>25040035</t>
  </si>
  <si>
    <t>25060020</t>
  </si>
  <si>
    <t>25070008</t>
  </si>
  <si>
    <t>C03200</t>
  </si>
  <si>
    <t>STALCO</t>
  </si>
  <si>
    <t>25020023</t>
  </si>
  <si>
    <t>25020024</t>
  </si>
  <si>
    <t>SWS</t>
  </si>
  <si>
    <t>木螺絲</t>
  </si>
  <si>
    <t>C03400</t>
  </si>
  <si>
    <t>INDEX</t>
  </si>
  <si>
    <t>25040006</t>
  </si>
  <si>
    <t>25040033</t>
  </si>
  <si>
    <t>25040034</t>
  </si>
  <si>
    <t>25050026</t>
  </si>
  <si>
    <t>25070009</t>
  </si>
  <si>
    <t>C10900</t>
  </si>
  <si>
    <t>D&amp;C</t>
  </si>
  <si>
    <t>25020036</t>
  </si>
  <si>
    <t>D01200</t>
  </si>
  <si>
    <t>INTERCORP</t>
  </si>
  <si>
    <t>25010007</t>
  </si>
  <si>
    <t>25020018</t>
  </si>
  <si>
    <t>25050022</t>
  </si>
  <si>
    <t>25060031</t>
  </si>
  <si>
    <t>D04000</t>
  </si>
  <si>
    <t>SIMPSON</t>
  </si>
  <si>
    <t>25020009</t>
  </si>
  <si>
    <t>25040014</t>
  </si>
  <si>
    <t>25050001</t>
  </si>
  <si>
    <t>25050021</t>
  </si>
  <si>
    <t>25060002</t>
  </si>
  <si>
    <t>25010002</t>
  </si>
  <si>
    <t>D04001</t>
  </si>
  <si>
    <t>SIMPSON AB</t>
  </si>
  <si>
    <t>25040022</t>
  </si>
  <si>
    <t>25050018</t>
  </si>
  <si>
    <t>25060004</t>
  </si>
  <si>
    <t>25030017</t>
  </si>
  <si>
    <t>25060030</t>
  </si>
  <si>
    <t>D04600</t>
  </si>
  <si>
    <t>BOISE</t>
  </si>
  <si>
    <t>25020033</t>
  </si>
  <si>
    <t>25020034</t>
  </si>
  <si>
    <t>D09000</t>
  </si>
  <si>
    <t>BMD</t>
  </si>
  <si>
    <t>25070011</t>
  </si>
  <si>
    <t>25020019</t>
  </si>
  <si>
    <t>D09200</t>
  </si>
  <si>
    <t>NATIONAL NAIL</t>
  </si>
  <si>
    <t>BIT</t>
  </si>
  <si>
    <t>套桶插具</t>
  </si>
  <si>
    <t>25020016</t>
  </si>
  <si>
    <t>25050010</t>
  </si>
  <si>
    <t>SCS</t>
  </si>
  <si>
    <t>水泥攻牙螺絲</t>
  </si>
  <si>
    <t>25030001</t>
  </si>
  <si>
    <t>25030002</t>
  </si>
  <si>
    <t>25030003</t>
  </si>
  <si>
    <t>25030005</t>
  </si>
  <si>
    <t>25030006</t>
  </si>
  <si>
    <t>25030007</t>
  </si>
  <si>
    <t>25030008</t>
  </si>
  <si>
    <t>25030009</t>
  </si>
  <si>
    <t>25040001</t>
  </si>
  <si>
    <t>25040002</t>
  </si>
  <si>
    <t>25040003</t>
  </si>
  <si>
    <t>25040004</t>
  </si>
  <si>
    <t>25040026</t>
  </si>
  <si>
    <t>25040027</t>
  </si>
  <si>
    <t>25040028</t>
  </si>
  <si>
    <t>25040029</t>
  </si>
  <si>
    <t>25050005</t>
  </si>
  <si>
    <t>25050006</t>
  </si>
  <si>
    <t>25050007</t>
  </si>
  <si>
    <t>25050008</t>
  </si>
  <si>
    <t>25050009</t>
  </si>
  <si>
    <t>25050011</t>
  </si>
  <si>
    <t>25050012</t>
  </si>
  <si>
    <t>25060007</t>
  </si>
  <si>
    <t>25060008</t>
  </si>
  <si>
    <t>25060009</t>
  </si>
  <si>
    <t>25060010</t>
  </si>
  <si>
    <t>25060011</t>
  </si>
  <si>
    <t>25060012</t>
  </si>
  <si>
    <t>25060013</t>
  </si>
  <si>
    <t>25060014</t>
  </si>
  <si>
    <t>25060015</t>
  </si>
  <si>
    <t>25060027</t>
  </si>
  <si>
    <t>25070001</t>
  </si>
  <si>
    <t>25010009</t>
  </si>
  <si>
    <t>STC</t>
  </si>
  <si>
    <t>結構木螺絲</t>
  </si>
  <si>
    <t>25010001</t>
  </si>
  <si>
    <t>25010008</t>
  </si>
  <si>
    <t>25020020</t>
  </si>
  <si>
    <t>25040015</t>
  </si>
  <si>
    <t>25050020</t>
  </si>
  <si>
    <t>25060001</t>
  </si>
  <si>
    <t>25010005</t>
  </si>
  <si>
    <t>25030020</t>
  </si>
  <si>
    <t>X</t>
  </si>
  <si>
    <t>其他</t>
  </si>
  <si>
    <t>SP000680</t>
  </si>
  <si>
    <t>吳采駩</t>
  </si>
  <si>
    <t>25030018</t>
  </si>
  <si>
    <t>25040020</t>
  </si>
  <si>
    <t>25050025</t>
  </si>
  <si>
    <t>WA</t>
  </si>
  <si>
    <t>華司</t>
  </si>
  <si>
    <t>C01702</t>
  </si>
  <si>
    <t>EJOT ROMANIA</t>
  </si>
  <si>
    <t>25050014</t>
  </si>
  <si>
    <t>25010010</t>
  </si>
  <si>
    <t>25020026</t>
  </si>
  <si>
    <t>25020028</t>
  </si>
  <si>
    <t>25030004</t>
  </si>
  <si>
    <t>25030010</t>
  </si>
  <si>
    <t>25030021</t>
  </si>
  <si>
    <t>25040011</t>
  </si>
  <si>
    <t>25050024</t>
  </si>
  <si>
    <t>25060022</t>
  </si>
  <si>
    <t>25070007</t>
  </si>
  <si>
    <t>25020010</t>
  </si>
  <si>
    <t>25020022</t>
  </si>
  <si>
    <t>25030014</t>
  </si>
  <si>
    <t>25040018</t>
  </si>
  <si>
    <t>25040024</t>
  </si>
  <si>
    <t>25050028</t>
  </si>
  <si>
    <t>25060003</t>
  </si>
  <si>
    <t>25060024</t>
  </si>
  <si>
    <t>25070005</t>
  </si>
  <si>
    <t>25050019</t>
  </si>
  <si>
    <t>25070006</t>
  </si>
  <si>
    <t>25020007</t>
  </si>
  <si>
    <t>25020008</t>
  </si>
  <si>
    <t>25020015</t>
  </si>
  <si>
    <t>25020029</t>
  </si>
  <si>
    <t>25020032</t>
  </si>
  <si>
    <t>25030015</t>
  </si>
  <si>
    <t>25040016</t>
  </si>
  <si>
    <t>25040021</t>
  </si>
  <si>
    <t>25050013</t>
  </si>
  <si>
    <t>25060025</t>
  </si>
  <si>
    <t>25020014</t>
  </si>
  <si>
    <t>25060023</t>
  </si>
  <si>
    <t>25070012</t>
  </si>
  <si>
    <t>25020030</t>
  </si>
  <si>
    <t>25050029</t>
  </si>
  <si>
    <t>25030016</t>
  </si>
  <si>
    <t>25040013</t>
  </si>
  <si>
    <t>25060029</t>
  </si>
  <si>
    <t>25010004</t>
  </si>
  <si>
    <t>25020031</t>
  </si>
  <si>
    <t>25030023</t>
  </si>
  <si>
    <t>25020021</t>
  </si>
  <si>
    <t>25010006</t>
  </si>
  <si>
    <t>25040005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</si>
</sst>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177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2210-76C7-4C83-8A7B-1B122B5CF4A9}">
  <dimension ref="A1:Q188"/>
  <sheetViews>
    <sheetView tabSelected="1" workbookViewId="0"/>
  </sheetViews>
  <sheetFormatPr defaultColWidth="8.625" defaultRowHeight="16.5" x14ac:dyDescent="0.25"/>
  <cols>
    <col min="8" max="11" width="10.625" style="2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3">
        <f>DATEVALUE("2025/02/03 00:00:00")</f>
        <v>45691</v>
      </c>
      <c r="I2" s="3">
        <f>DATEVALUE("2025/02/04 00:00:00")</f>
        <v>45692</v>
      </c>
      <c r="J2" s="3">
        <f>DATEVALUE("2025/07/11 00:00:00")</f>
        <v>45849</v>
      </c>
      <c r="K2" s="3">
        <f>DATEVALUE("2025/07/25 00:00:00")</f>
        <v>45863</v>
      </c>
      <c r="L2" s="4">
        <v>24000</v>
      </c>
      <c r="M2" s="5">
        <v>25120</v>
      </c>
      <c r="N2" t="s">
        <v>24</v>
      </c>
      <c r="O2" s="5">
        <v>82720</v>
      </c>
      <c r="P2" s="5">
        <v>0</v>
      </c>
      <c r="Q2" s="5">
        <v>0</v>
      </c>
    </row>
    <row r="3" spans="1:17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25</v>
      </c>
      <c r="H3" s="3">
        <f>DATEVALUE("2025/02/21 00:00:00")</f>
        <v>45709</v>
      </c>
      <c r="I3" s="3">
        <f>DATEVALUE("2025/02/21 00:00:00")</f>
        <v>45709</v>
      </c>
      <c r="J3" s="3">
        <f>DATEVALUE("2025/05/29 00:00:00")</f>
        <v>45806</v>
      </c>
      <c r="K3" s="3">
        <f>DATEVALUE("2025/06/13 00:00:00")</f>
        <v>45821</v>
      </c>
      <c r="L3" s="4">
        <v>400</v>
      </c>
      <c r="M3" s="5">
        <v>1208</v>
      </c>
      <c r="N3" t="s">
        <v>24</v>
      </c>
      <c r="O3" s="5">
        <v>4336</v>
      </c>
      <c r="P3" s="5">
        <v>0</v>
      </c>
      <c r="Q3" s="5">
        <v>0</v>
      </c>
    </row>
    <row r="4" spans="1:17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26</v>
      </c>
      <c r="H4" s="3">
        <f>DATEVALUE("2025/02/27 00:00:00")</f>
        <v>45715</v>
      </c>
      <c r="I4" s="3">
        <f>DATEVALUE("2025/02/27 00:00:00")</f>
        <v>45715</v>
      </c>
      <c r="J4" s="3">
        <f>DATEVALUE("2025/05/29 00:00:00")</f>
        <v>45806</v>
      </c>
      <c r="K4" s="3">
        <f>DATEVALUE("2025/06/13 00:00:00")</f>
        <v>45821</v>
      </c>
      <c r="L4" s="4">
        <v>100</v>
      </c>
      <c r="M4" s="5">
        <v>302</v>
      </c>
      <c r="N4" t="s">
        <v>24</v>
      </c>
      <c r="O4" s="5">
        <v>1084</v>
      </c>
      <c r="P4" s="5">
        <v>0</v>
      </c>
      <c r="Q4" s="5">
        <v>0</v>
      </c>
    </row>
    <row r="5" spans="1:17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27</v>
      </c>
      <c r="H5" s="3">
        <f>DATEVALUE("2025/03/18 00:00:00")</f>
        <v>45734</v>
      </c>
      <c r="I5" s="3">
        <f>DATEVALUE("2025/03/19 00:00:00")</f>
        <v>45735</v>
      </c>
      <c r="J5" s="3">
        <f>DATEVALUE("2025/06/20 00:00:00")</f>
        <v>45828</v>
      </c>
      <c r="K5" s="3">
        <f>DATEVALUE("2025/07/04 00:00:00")</f>
        <v>45842</v>
      </c>
      <c r="L5" s="4">
        <v>1200</v>
      </c>
      <c r="M5" s="5">
        <v>1452</v>
      </c>
      <c r="N5" t="s">
        <v>24</v>
      </c>
      <c r="O5" s="5">
        <v>5484</v>
      </c>
      <c r="P5" s="5">
        <v>0</v>
      </c>
      <c r="Q5" s="5">
        <v>0</v>
      </c>
    </row>
    <row r="6" spans="1:17" x14ac:dyDescent="0.25">
      <c r="A6" t="s">
        <v>17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28</v>
      </c>
      <c r="H6" s="3">
        <f>DATEVALUE("2025/06/26 00:00:00")</f>
        <v>45834</v>
      </c>
      <c r="I6" s="3">
        <f>DATEVALUE("2025/06/26 00:00:00")</f>
        <v>45834</v>
      </c>
      <c r="J6" s="3">
        <f>DATEVALUE("2025/09/18 00:00:00")</f>
        <v>45918</v>
      </c>
      <c r="K6" s="3">
        <f>DATEVALUE("2025/10/02 00:00:00")</f>
        <v>45932</v>
      </c>
      <c r="L6" s="4">
        <v>408</v>
      </c>
      <c r="M6" s="5">
        <v>1162.8</v>
      </c>
      <c r="N6" t="s">
        <v>24</v>
      </c>
      <c r="O6" s="5">
        <v>3839.28</v>
      </c>
      <c r="P6" s="5">
        <v>0</v>
      </c>
      <c r="Q6" s="5">
        <v>0</v>
      </c>
    </row>
    <row r="7" spans="1:17" x14ac:dyDescent="0.25">
      <c r="A7" t="s">
        <v>17</v>
      </c>
      <c r="B7" t="s">
        <v>18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H7" s="3">
        <f>DATEVALUE("2025/01/08 00:00:00")</f>
        <v>45665</v>
      </c>
      <c r="I7" s="3">
        <f>DATEVALUE("2025/01/09 00:00:00")</f>
        <v>45666</v>
      </c>
      <c r="J7" s="3">
        <f>DATEVALUE("2025/04/15 00:00:00")</f>
        <v>45762</v>
      </c>
      <c r="K7" s="3">
        <f>DATEVALUE("2025/04/29 00:00:00")</f>
        <v>45776</v>
      </c>
      <c r="L7" s="4">
        <v>28651.319</v>
      </c>
      <c r="M7" s="5">
        <v>79798.570000000007</v>
      </c>
      <c r="N7" t="s">
        <v>34</v>
      </c>
      <c r="O7" s="5">
        <v>143779.22</v>
      </c>
      <c r="P7" s="5">
        <v>0</v>
      </c>
      <c r="Q7" s="5">
        <v>0</v>
      </c>
    </row>
    <row r="8" spans="1:17" x14ac:dyDescent="0.25">
      <c r="A8" t="s">
        <v>17</v>
      </c>
      <c r="B8" t="s">
        <v>18</v>
      </c>
      <c r="C8" t="s">
        <v>29</v>
      </c>
      <c r="D8" t="s">
        <v>30</v>
      </c>
      <c r="E8" t="s">
        <v>31</v>
      </c>
      <c r="F8" t="s">
        <v>32</v>
      </c>
      <c r="G8" t="s">
        <v>35</v>
      </c>
      <c r="H8" s="3">
        <f>DATEVALUE("2025/02/03 00:00:00")</f>
        <v>45691</v>
      </c>
      <c r="I8" s="3">
        <f>DATEVALUE("2025/02/04 00:00:00")</f>
        <v>45692</v>
      </c>
      <c r="J8" s="3">
        <f>DATEVALUE("2025/04/25 00:00:00")</f>
        <v>45772</v>
      </c>
      <c r="K8" s="3">
        <f>DATEVALUE("2025/05/09 00:00:00")</f>
        <v>45786</v>
      </c>
      <c r="L8" s="4">
        <v>3330.4</v>
      </c>
      <c r="M8" s="5">
        <v>13089.52</v>
      </c>
      <c r="N8" t="s">
        <v>34</v>
      </c>
      <c r="O8" s="5">
        <v>23881.63</v>
      </c>
      <c r="P8" s="5">
        <v>0</v>
      </c>
      <c r="Q8" s="5">
        <v>0</v>
      </c>
    </row>
    <row r="9" spans="1:17" x14ac:dyDescent="0.25">
      <c r="A9" t="s">
        <v>17</v>
      </c>
      <c r="B9" t="s">
        <v>18</v>
      </c>
      <c r="C9" t="s">
        <v>29</v>
      </c>
      <c r="D9" t="s">
        <v>30</v>
      </c>
      <c r="E9" t="s">
        <v>31</v>
      </c>
      <c r="F9" t="s">
        <v>32</v>
      </c>
      <c r="G9" t="s">
        <v>36</v>
      </c>
      <c r="H9" s="3">
        <f>DATEVALUE("2025/02/20 00:00:00")</f>
        <v>45708</v>
      </c>
      <c r="I9" s="3">
        <f>DATEVALUE("2025/02/24 00:00:00")</f>
        <v>45712</v>
      </c>
      <c r="J9" s="3">
        <f>DATEVALUE("2025/05/20 00:00:00")</f>
        <v>45797</v>
      </c>
      <c r="K9" s="3">
        <f>DATEVALUE("2025/05/28 00:00:00")</f>
        <v>45805</v>
      </c>
      <c r="L9" s="4">
        <v>2412.8000000000002</v>
      </c>
      <c r="M9" s="5">
        <v>10060.99</v>
      </c>
      <c r="N9" t="s">
        <v>34</v>
      </c>
      <c r="O9" s="5">
        <v>19595.29</v>
      </c>
      <c r="P9" s="5">
        <v>0</v>
      </c>
      <c r="Q9" s="5">
        <v>0</v>
      </c>
    </row>
    <row r="10" spans="1:17" x14ac:dyDescent="0.25">
      <c r="A10" t="s">
        <v>17</v>
      </c>
      <c r="B10" t="s">
        <v>18</v>
      </c>
      <c r="C10" t="s">
        <v>29</v>
      </c>
      <c r="D10" t="s">
        <v>30</v>
      </c>
      <c r="E10" t="s">
        <v>31</v>
      </c>
      <c r="F10" t="s">
        <v>32</v>
      </c>
      <c r="G10" t="s">
        <v>37</v>
      </c>
      <c r="H10" s="3">
        <f>DATEVALUE("2025/04/11 00:00:00")</f>
        <v>45758</v>
      </c>
      <c r="I10" s="3">
        <f>DATEVALUE("2025/04/11 00:00:00")</f>
        <v>45758</v>
      </c>
      <c r="J10" s="3">
        <f>DATEVALUE("2025/07/31 00:00:00")</f>
        <v>45869</v>
      </c>
      <c r="K10" s="3">
        <f>DATEVALUE("2025/08/14 00:00:00")</f>
        <v>45883</v>
      </c>
      <c r="L10" s="4">
        <v>384</v>
      </c>
      <c r="M10" s="5">
        <v>1209.5999999999999</v>
      </c>
      <c r="N10" t="s">
        <v>34</v>
      </c>
      <c r="O10" s="5">
        <v>2350.08</v>
      </c>
      <c r="P10" s="5">
        <v>0</v>
      </c>
      <c r="Q10" s="5">
        <v>0</v>
      </c>
    </row>
    <row r="11" spans="1:17" x14ac:dyDescent="0.25">
      <c r="A11" t="s">
        <v>17</v>
      </c>
      <c r="B11" t="s">
        <v>18</v>
      </c>
      <c r="C11" t="s">
        <v>29</v>
      </c>
      <c r="D11" t="s">
        <v>30</v>
      </c>
      <c r="E11" t="s">
        <v>31</v>
      </c>
      <c r="F11" t="s">
        <v>32</v>
      </c>
      <c r="G11" t="s">
        <v>38</v>
      </c>
      <c r="H11" s="3">
        <f>DATEVALUE("2025/04/25 00:00:00")</f>
        <v>45772</v>
      </c>
      <c r="I11" s="3">
        <f>DATEVALUE("2025/04/28 00:00:00")</f>
        <v>45775</v>
      </c>
      <c r="J11" s="3">
        <f>DATEVALUE("2025/08/06 00:00:00")</f>
        <v>45875</v>
      </c>
      <c r="K11" s="3">
        <f>DATEVALUE("2025/08/13 00:00:00")</f>
        <v>45882</v>
      </c>
      <c r="L11" s="4">
        <v>13743.8</v>
      </c>
      <c r="M11" s="5">
        <v>41534.22</v>
      </c>
      <c r="N11" t="s">
        <v>34</v>
      </c>
      <c r="O11" s="5">
        <v>73167.95</v>
      </c>
      <c r="P11" s="5">
        <v>0</v>
      </c>
      <c r="Q11" s="5">
        <v>0</v>
      </c>
    </row>
    <row r="12" spans="1:17" x14ac:dyDescent="0.25">
      <c r="A12" t="s">
        <v>17</v>
      </c>
      <c r="B12" t="s">
        <v>18</v>
      </c>
      <c r="C12" t="s">
        <v>29</v>
      </c>
      <c r="D12" t="s">
        <v>30</v>
      </c>
      <c r="E12" t="s">
        <v>31</v>
      </c>
      <c r="F12" t="s">
        <v>32</v>
      </c>
      <c r="G12" t="s">
        <v>39</v>
      </c>
      <c r="H12" s="3">
        <f>DATEVALUE("2025/05/28 00:00:00")</f>
        <v>45805</v>
      </c>
      <c r="I12" s="3">
        <f>DATEVALUE("2025/05/29 00:00:00")</f>
        <v>45806</v>
      </c>
      <c r="J12" s="3">
        <f>DATEVALUE("2025/09/10 00:00:00")</f>
        <v>45910</v>
      </c>
      <c r="K12" s="3">
        <f>DATEVALUE("2025/09/24 00:00:00")</f>
        <v>45924</v>
      </c>
      <c r="L12" s="4">
        <v>192</v>
      </c>
      <c r="M12" s="5">
        <v>291.83999999999997</v>
      </c>
      <c r="N12" t="s">
        <v>34</v>
      </c>
      <c r="O12" s="5">
        <v>981.12</v>
      </c>
      <c r="P12" s="5">
        <v>0</v>
      </c>
      <c r="Q12" s="5">
        <v>0</v>
      </c>
    </row>
    <row r="13" spans="1:17" x14ac:dyDescent="0.25">
      <c r="A13" t="s">
        <v>17</v>
      </c>
      <c r="B13" t="s">
        <v>18</v>
      </c>
      <c r="C13" t="s">
        <v>29</v>
      </c>
      <c r="D13" t="s">
        <v>30</v>
      </c>
      <c r="E13" t="s">
        <v>31</v>
      </c>
      <c r="F13" t="s">
        <v>32</v>
      </c>
      <c r="G13" t="s">
        <v>40</v>
      </c>
      <c r="H13" s="3">
        <f>DATEVALUE("2025/06/06 00:00:00")</f>
        <v>45814</v>
      </c>
      <c r="I13" s="3">
        <f>DATEVALUE("2025/06/09 00:00:00")</f>
        <v>45817</v>
      </c>
      <c r="J13" s="3">
        <f>DATEVALUE("2025/09/10 00:00:00")</f>
        <v>45910</v>
      </c>
      <c r="K13" s="3">
        <f>DATEVALUE("2025/09/24 00:00:00")</f>
        <v>45924</v>
      </c>
      <c r="L13" s="4">
        <v>18972.816999999999</v>
      </c>
      <c r="M13" s="5">
        <v>43089.47</v>
      </c>
      <c r="N13" t="s">
        <v>34</v>
      </c>
      <c r="O13" s="5">
        <v>80258.39</v>
      </c>
      <c r="P13" s="5">
        <v>0</v>
      </c>
      <c r="Q13" s="5">
        <v>0</v>
      </c>
    </row>
    <row r="14" spans="1:17" x14ac:dyDescent="0.25">
      <c r="A14" t="s">
        <v>17</v>
      </c>
      <c r="B14" t="s">
        <v>18</v>
      </c>
      <c r="C14" t="s">
        <v>29</v>
      </c>
      <c r="D14" t="s">
        <v>30</v>
      </c>
      <c r="E14" t="s">
        <v>31</v>
      </c>
      <c r="F14" t="s">
        <v>32</v>
      </c>
      <c r="G14" t="s">
        <v>41</v>
      </c>
      <c r="H14" s="3">
        <f>DATEVALUE("2025/07/03 00:00:00")</f>
        <v>45841</v>
      </c>
      <c r="I14" s="3">
        <f>DATEVALUE("2025/07/04 00:00:00")</f>
        <v>45842</v>
      </c>
      <c r="J14" s="3">
        <f>DATEVALUE("2025/09/10 00:00:00")</f>
        <v>45910</v>
      </c>
      <c r="K14" s="3">
        <f>DATEVALUE("2025/10/01 00:00:00")</f>
        <v>45931</v>
      </c>
      <c r="L14" s="4">
        <v>20093.708999999999</v>
      </c>
      <c r="M14" s="5">
        <v>47425.07</v>
      </c>
      <c r="N14" t="s">
        <v>34</v>
      </c>
      <c r="O14" s="5">
        <v>85418.81</v>
      </c>
      <c r="P14" s="5">
        <v>0</v>
      </c>
      <c r="Q14" s="5">
        <v>0</v>
      </c>
    </row>
    <row r="15" spans="1:17" x14ac:dyDescent="0.25">
      <c r="A15" t="s">
        <v>17</v>
      </c>
      <c r="B15" t="s">
        <v>18</v>
      </c>
      <c r="C15" t="s">
        <v>29</v>
      </c>
      <c r="D15" t="s">
        <v>30</v>
      </c>
      <c r="E15" t="s">
        <v>42</v>
      </c>
      <c r="F15" t="s">
        <v>43</v>
      </c>
      <c r="G15" t="s">
        <v>44</v>
      </c>
      <c r="H15" s="3">
        <f>DATEVALUE("2025/04/24 00:00:00")</f>
        <v>45771</v>
      </c>
      <c r="I15" s="3">
        <f>DATEVALUE("2025/04/24 00:00:00")</f>
        <v>45771</v>
      </c>
      <c r="J15" s="3">
        <f>DATEVALUE("2025/08/09 00:00:00")</f>
        <v>45878</v>
      </c>
      <c r="K15" s="3">
        <f>DATEVALUE("2025/08/23 00:00:00")</f>
        <v>45892</v>
      </c>
      <c r="L15" s="4">
        <v>600</v>
      </c>
      <c r="M15" s="5">
        <v>3561</v>
      </c>
      <c r="N15" t="s">
        <v>34</v>
      </c>
      <c r="O15" s="5">
        <v>5096</v>
      </c>
      <c r="P15" s="5">
        <v>0</v>
      </c>
      <c r="Q15" s="5">
        <v>0</v>
      </c>
    </row>
    <row r="16" spans="1:17" x14ac:dyDescent="0.25">
      <c r="A16" t="s">
        <v>17</v>
      </c>
      <c r="B16" t="s">
        <v>18</v>
      </c>
      <c r="C16" t="s">
        <v>29</v>
      </c>
      <c r="D16" t="s">
        <v>30</v>
      </c>
      <c r="E16" t="s">
        <v>42</v>
      </c>
      <c r="F16" t="s">
        <v>43</v>
      </c>
      <c r="G16" t="s">
        <v>45</v>
      </c>
      <c r="H16" s="3">
        <f>DATEVALUE("2025/06/19 00:00:00")</f>
        <v>45827</v>
      </c>
      <c r="I16" s="3">
        <f>DATEVALUE("2025/06/19 00:00:00")</f>
        <v>45827</v>
      </c>
      <c r="J16" s="3">
        <f>DATEVALUE("2025/08/19 00:00:00")</f>
        <v>45888</v>
      </c>
      <c r="K16" s="3">
        <f>DATEVALUE("2025/09/02 00:00:00")</f>
        <v>45902</v>
      </c>
      <c r="L16" s="4">
        <v>100</v>
      </c>
      <c r="M16" s="5">
        <v>764</v>
      </c>
      <c r="N16" t="s">
        <v>34</v>
      </c>
      <c r="O16" s="5">
        <v>1171</v>
      </c>
      <c r="P16" s="5">
        <v>0</v>
      </c>
      <c r="Q16" s="5">
        <v>0</v>
      </c>
    </row>
    <row r="17" spans="1:17" x14ac:dyDescent="0.25">
      <c r="A17" t="s">
        <v>17</v>
      </c>
      <c r="B17" t="s">
        <v>18</v>
      </c>
      <c r="C17" t="s">
        <v>46</v>
      </c>
      <c r="D17" t="s">
        <v>47</v>
      </c>
      <c r="E17" t="s">
        <v>48</v>
      </c>
      <c r="F17" t="s">
        <v>49</v>
      </c>
      <c r="G17" t="s">
        <v>50</v>
      </c>
      <c r="H17" s="3">
        <f>DATEVALUE("2025/07/10 00:00:00")</f>
        <v>45848</v>
      </c>
      <c r="I17" s="3">
        <f>DATEVALUE("2025/07/10 00:00:00")</f>
        <v>45848</v>
      </c>
      <c r="J17" s="3">
        <f>DATEVALUE("2025/09/20 00:00:00")</f>
        <v>45920</v>
      </c>
      <c r="K17" s="3">
        <f>DATEVALUE("2025/10/08 00:00:00")</f>
        <v>45938</v>
      </c>
      <c r="L17" s="4">
        <v>2000</v>
      </c>
      <c r="M17" s="5">
        <v>3070</v>
      </c>
      <c r="N17" t="s">
        <v>34</v>
      </c>
      <c r="O17" s="5">
        <v>6000</v>
      </c>
      <c r="P17" s="5">
        <v>0</v>
      </c>
      <c r="Q17" s="5">
        <v>0</v>
      </c>
    </row>
    <row r="18" spans="1:17" x14ac:dyDescent="0.25">
      <c r="A18" t="s">
        <v>17</v>
      </c>
      <c r="B18" t="s">
        <v>18</v>
      </c>
      <c r="C18" t="s">
        <v>46</v>
      </c>
      <c r="D18" t="s">
        <v>47</v>
      </c>
      <c r="E18" t="s">
        <v>31</v>
      </c>
      <c r="F18" t="s">
        <v>32</v>
      </c>
      <c r="G18" t="s">
        <v>51</v>
      </c>
      <c r="H18" s="3">
        <f>DATEVALUE("2025/02/04 00:00:00")</f>
        <v>45692</v>
      </c>
      <c r="I18" s="3">
        <f>DATEVALUE("2025/02/04 00:00:00")</f>
        <v>45692</v>
      </c>
      <c r="J18" s="3">
        <f>DATEVALUE("2025/04/25 00:00:00")</f>
        <v>45772</v>
      </c>
      <c r="K18" s="3">
        <f>DATEVALUE("2025/05/23 00:00:00")</f>
        <v>45800</v>
      </c>
      <c r="L18" s="4">
        <v>210</v>
      </c>
      <c r="M18" s="5">
        <v>646.29999999999995</v>
      </c>
      <c r="N18" t="s">
        <v>34</v>
      </c>
      <c r="O18" s="5">
        <v>1654</v>
      </c>
      <c r="P18" s="5">
        <v>0</v>
      </c>
      <c r="Q18" s="5">
        <v>0</v>
      </c>
    </row>
    <row r="19" spans="1:17" x14ac:dyDescent="0.25">
      <c r="A19" t="s">
        <v>17</v>
      </c>
      <c r="B19" t="s">
        <v>18</v>
      </c>
      <c r="C19" t="s">
        <v>46</v>
      </c>
      <c r="D19" t="s">
        <v>47</v>
      </c>
      <c r="E19" t="s">
        <v>31</v>
      </c>
      <c r="F19" t="s">
        <v>32</v>
      </c>
      <c r="G19" t="s">
        <v>52</v>
      </c>
      <c r="H19" s="3">
        <f>DATEVALUE("2025/04/09 00:00:00")</f>
        <v>45756</v>
      </c>
      <c r="I19" s="3">
        <f>DATEVALUE("2025/04/09 00:00:00")</f>
        <v>45756</v>
      </c>
      <c r="J19" s="3">
        <f>DATEVALUE("2025/06/27 00:00:00")</f>
        <v>45835</v>
      </c>
      <c r="K19" s="3">
        <f>DATEVALUE("2025/07/11 00:00:00")</f>
        <v>45849</v>
      </c>
      <c r="L19" s="4">
        <v>4998</v>
      </c>
      <c r="M19" s="5">
        <v>9508.44</v>
      </c>
      <c r="N19" t="s">
        <v>34</v>
      </c>
      <c r="O19" s="5">
        <v>19288.2</v>
      </c>
      <c r="P19" s="5">
        <v>0</v>
      </c>
      <c r="Q19" s="5">
        <v>0</v>
      </c>
    </row>
    <row r="20" spans="1:17" x14ac:dyDescent="0.25">
      <c r="A20" t="s">
        <v>17</v>
      </c>
      <c r="B20" t="s">
        <v>18</v>
      </c>
      <c r="C20" t="s">
        <v>46</v>
      </c>
      <c r="D20" t="s">
        <v>47</v>
      </c>
      <c r="E20" t="s">
        <v>31</v>
      </c>
      <c r="F20" t="s">
        <v>32</v>
      </c>
      <c r="G20" t="s">
        <v>53</v>
      </c>
      <c r="H20" s="3">
        <f>DATEVALUE("2025/04/17 00:00:00")</f>
        <v>45764</v>
      </c>
      <c r="I20" s="3">
        <f>DATEVALUE("2025/04/22 00:00:00")</f>
        <v>45769</v>
      </c>
      <c r="J20" s="3">
        <f>DATEVALUE("2025/08/18 00:00:00")</f>
        <v>45887</v>
      </c>
      <c r="K20" s="3">
        <f>DATEVALUE("2025/08/25 00:00:00")</f>
        <v>45894</v>
      </c>
      <c r="L20" s="4">
        <v>816</v>
      </c>
      <c r="M20" s="5">
        <v>2257.96</v>
      </c>
      <c r="N20" t="s">
        <v>34</v>
      </c>
      <c r="O20" s="5">
        <v>6285.2</v>
      </c>
      <c r="P20" s="5">
        <v>0</v>
      </c>
      <c r="Q20" s="5">
        <v>0</v>
      </c>
    </row>
    <row r="21" spans="1:17" x14ac:dyDescent="0.25">
      <c r="A21" t="s">
        <v>17</v>
      </c>
      <c r="B21" t="s">
        <v>18</v>
      </c>
      <c r="C21" t="s">
        <v>46</v>
      </c>
      <c r="D21" t="s">
        <v>47</v>
      </c>
      <c r="E21" t="s">
        <v>31</v>
      </c>
      <c r="F21" t="s">
        <v>32</v>
      </c>
      <c r="G21" t="s">
        <v>54</v>
      </c>
      <c r="H21" s="3">
        <f>DATEVALUE("2025/06/12 00:00:00")</f>
        <v>45820</v>
      </c>
      <c r="I21" s="3">
        <f>DATEVALUE("2025/06/13 00:00:00")</f>
        <v>45821</v>
      </c>
      <c r="J21" s="3">
        <f>DATEVALUE("2025/10/06 00:00:00")</f>
        <v>45936</v>
      </c>
      <c r="K21" s="3">
        <f>DATEVALUE("2025/11/05 00:00:00")</f>
        <v>45966</v>
      </c>
      <c r="L21" s="4">
        <v>258</v>
      </c>
      <c r="M21" s="5">
        <v>841.08</v>
      </c>
      <c r="N21" t="s">
        <v>34</v>
      </c>
      <c r="O21" s="5">
        <v>2322</v>
      </c>
      <c r="P21" s="5">
        <v>0</v>
      </c>
      <c r="Q21" s="5">
        <v>0</v>
      </c>
    </row>
    <row r="22" spans="1:17" x14ac:dyDescent="0.25">
      <c r="A22" t="s">
        <v>17</v>
      </c>
      <c r="B22" t="s">
        <v>18</v>
      </c>
      <c r="C22" t="s">
        <v>46</v>
      </c>
      <c r="D22" t="s">
        <v>47</v>
      </c>
      <c r="E22" t="s">
        <v>31</v>
      </c>
      <c r="F22" t="s">
        <v>32</v>
      </c>
      <c r="G22" t="s">
        <v>55</v>
      </c>
      <c r="H22" s="3">
        <f>DATEVALUE("2025/06/23 00:00:00")</f>
        <v>45831</v>
      </c>
      <c r="I22" s="3">
        <f>DATEVALUE("2025/06/23 00:00:00")</f>
        <v>45831</v>
      </c>
      <c r="J22" s="3">
        <f>DATEVALUE("2025/09/03 00:00:00")</f>
        <v>45903</v>
      </c>
      <c r="K22" s="3">
        <f>DATEVALUE("2025/10/01 00:00:00")</f>
        <v>45931</v>
      </c>
      <c r="L22" s="4">
        <v>2838</v>
      </c>
      <c r="M22" s="5">
        <v>5221.92</v>
      </c>
      <c r="N22" t="s">
        <v>34</v>
      </c>
      <c r="O22" s="5">
        <v>10897.92</v>
      </c>
      <c r="P22" s="5">
        <v>0</v>
      </c>
      <c r="Q22" s="5">
        <v>0</v>
      </c>
    </row>
    <row r="23" spans="1:17" x14ac:dyDescent="0.25">
      <c r="A23" t="s">
        <v>17</v>
      </c>
      <c r="B23" t="s">
        <v>18</v>
      </c>
      <c r="C23" t="s">
        <v>46</v>
      </c>
      <c r="D23" t="s">
        <v>47</v>
      </c>
      <c r="E23" t="s">
        <v>56</v>
      </c>
      <c r="F23" t="s">
        <v>57</v>
      </c>
      <c r="G23" t="s">
        <v>52</v>
      </c>
      <c r="H23" s="3">
        <f>DATEVALUE("2025/04/09 00:00:00")</f>
        <v>45756</v>
      </c>
      <c r="I23" s="3">
        <f>DATEVALUE("2025/04/09 00:00:00")</f>
        <v>45756</v>
      </c>
      <c r="J23" s="3">
        <f>DATEVALUE("2025/06/27 00:00:00")</f>
        <v>45835</v>
      </c>
      <c r="K23" s="3">
        <f>DATEVALUE("2025/07/11 00:00:00")</f>
        <v>45849</v>
      </c>
      <c r="L23" s="4">
        <v>17210</v>
      </c>
      <c r="M23" s="5">
        <v>27820.48</v>
      </c>
      <c r="N23" t="s">
        <v>34</v>
      </c>
      <c r="O23" s="5">
        <v>55933.36</v>
      </c>
      <c r="P23" s="5">
        <v>0</v>
      </c>
      <c r="Q23" s="5">
        <v>0</v>
      </c>
    </row>
    <row r="24" spans="1:17" x14ac:dyDescent="0.25">
      <c r="A24" t="s">
        <v>17</v>
      </c>
      <c r="B24" t="s">
        <v>18</v>
      </c>
      <c r="C24" t="s">
        <v>46</v>
      </c>
      <c r="D24" t="s">
        <v>47</v>
      </c>
      <c r="E24" t="s">
        <v>56</v>
      </c>
      <c r="F24" t="s">
        <v>57</v>
      </c>
      <c r="G24" t="s">
        <v>55</v>
      </c>
      <c r="H24" s="3">
        <f>DATEVALUE("2025/06/23 00:00:00")</f>
        <v>45831</v>
      </c>
      <c r="I24" s="3">
        <f>DATEVALUE("2025/06/23 00:00:00")</f>
        <v>45831</v>
      </c>
      <c r="J24" s="3">
        <f>DATEVALUE("2025/09/29 00:00:00")</f>
        <v>45929</v>
      </c>
      <c r="K24" s="3">
        <f>DATEVALUE("2025/10/29 00:00:00")</f>
        <v>45959</v>
      </c>
      <c r="L24" s="4">
        <v>22152</v>
      </c>
      <c r="M24" s="5">
        <v>35455.08</v>
      </c>
      <c r="N24" t="s">
        <v>34</v>
      </c>
      <c r="O24" s="5">
        <v>67010.28</v>
      </c>
      <c r="P24" s="5">
        <v>0</v>
      </c>
      <c r="Q24" s="5">
        <v>0</v>
      </c>
    </row>
    <row r="25" spans="1:17" x14ac:dyDescent="0.25">
      <c r="A25" t="s">
        <v>17</v>
      </c>
      <c r="B25" t="s">
        <v>18</v>
      </c>
      <c r="C25" t="s">
        <v>46</v>
      </c>
      <c r="D25" t="s">
        <v>47</v>
      </c>
      <c r="E25" t="s">
        <v>42</v>
      </c>
      <c r="F25" t="s">
        <v>43</v>
      </c>
      <c r="G25" t="s">
        <v>58</v>
      </c>
      <c r="H25" s="3">
        <f>DATEVALUE("2025/04/18 00:00:00")</f>
        <v>45765</v>
      </c>
      <c r="I25" s="3">
        <f>DATEVALUE("2025/04/21 00:00:00")</f>
        <v>45768</v>
      </c>
      <c r="J25" s="3">
        <f>DATEVALUE("2025/06/22 00:00:00")</f>
        <v>45830</v>
      </c>
      <c r="K25" s="3">
        <f>DATEVALUE("2025/07/11 00:00:00")</f>
        <v>45849</v>
      </c>
      <c r="L25" s="4">
        <v>100</v>
      </c>
      <c r="M25" s="5">
        <v>520</v>
      </c>
      <c r="N25" t="s">
        <v>34</v>
      </c>
      <c r="O25" s="5">
        <v>855</v>
      </c>
      <c r="P25" s="5">
        <v>0</v>
      </c>
      <c r="Q25" s="5">
        <v>0</v>
      </c>
    </row>
    <row r="26" spans="1:17" x14ac:dyDescent="0.25">
      <c r="A26" t="s">
        <v>17</v>
      </c>
      <c r="B26" t="s">
        <v>18</v>
      </c>
      <c r="C26" t="s">
        <v>46</v>
      </c>
      <c r="D26" t="s">
        <v>47</v>
      </c>
      <c r="E26" t="s">
        <v>42</v>
      </c>
      <c r="F26" t="s">
        <v>43</v>
      </c>
      <c r="G26" t="s">
        <v>59</v>
      </c>
      <c r="H26" s="3">
        <f>DATEVALUE("2025/04/30 00:00:00")</f>
        <v>45777</v>
      </c>
      <c r="I26" s="3">
        <f>DATEVALUE("2025/05/02 00:00:00")</f>
        <v>45779</v>
      </c>
      <c r="J26" s="3">
        <f>DATEVALUE("2025/09/15 00:00:00")</f>
        <v>45915</v>
      </c>
      <c r="K26" s="3">
        <f>DATEVALUE("2025/10/15 00:00:00")</f>
        <v>45945</v>
      </c>
      <c r="L26" s="4">
        <v>150</v>
      </c>
      <c r="M26" s="5">
        <v>349.5</v>
      </c>
      <c r="N26" t="s">
        <v>34</v>
      </c>
      <c r="O26" s="5">
        <v>540</v>
      </c>
      <c r="P26" s="5">
        <v>0</v>
      </c>
      <c r="Q26" s="5">
        <v>0</v>
      </c>
    </row>
    <row r="27" spans="1:17" x14ac:dyDescent="0.25">
      <c r="A27" t="s">
        <v>17</v>
      </c>
      <c r="B27" t="s">
        <v>18</v>
      </c>
      <c r="C27" t="s">
        <v>46</v>
      </c>
      <c r="D27" t="s">
        <v>47</v>
      </c>
      <c r="E27" t="s">
        <v>42</v>
      </c>
      <c r="F27" t="s">
        <v>43</v>
      </c>
      <c r="G27" t="s">
        <v>60</v>
      </c>
      <c r="H27" s="3">
        <f>DATEVALUE("2025/06/13 00:00:00")</f>
        <v>45821</v>
      </c>
      <c r="I27" s="3">
        <f>DATEVALUE("2025/06/13 00:00:00")</f>
        <v>45821</v>
      </c>
      <c r="J27" s="3">
        <f>DATEVALUE("2025/08/17 00:00:00")</f>
        <v>45886</v>
      </c>
      <c r="K27" s="3">
        <f>DATEVALUE("2025/09/03 00:00:00")</f>
        <v>45903</v>
      </c>
      <c r="L27" s="4">
        <v>5844</v>
      </c>
      <c r="M27" s="5">
        <v>13689.6</v>
      </c>
      <c r="N27" t="s">
        <v>34</v>
      </c>
      <c r="O27" s="5">
        <v>23474.3</v>
      </c>
      <c r="P27" s="5">
        <v>0</v>
      </c>
      <c r="Q27" s="5">
        <v>0</v>
      </c>
    </row>
    <row r="28" spans="1:17" x14ac:dyDescent="0.25">
      <c r="A28" t="s">
        <v>17</v>
      </c>
      <c r="B28" t="s">
        <v>18</v>
      </c>
      <c r="C28" t="s">
        <v>46</v>
      </c>
      <c r="D28" t="s">
        <v>47</v>
      </c>
      <c r="E28" t="s">
        <v>21</v>
      </c>
      <c r="F28" t="s">
        <v>22</v>
      </c>
      <c r="G28" t="s">
        <v>51</v>
      </c>
      <c r="H28" s="3">
        <f>DATEVALUE("2025/02/04 00:00:00")</f>
        <v>45692</v>
      </c>
      <c r="I28" s="3">
        <f>DATEVALUE("2025/02/04 00:00:00")</f>
        <v>45692</v>
      </c>
      <c r="J28" s="3">
        <f>DATEVALUE("2025/04/25 00:00:00")</f>
        <v>45772</v>
      </c>
      <c r="K28" s="3">
        <f>DATEVALUE("2025/05/23 00:00:00")</f>
        <v>45800</v>
      </c>
      <c r="L28" s="4">
        <v>250</v>
      </c>
      <c r="M28" s="5">
        <v>305</v>
      </c>
      <c r="N28" t="s">
        <v>34</v>
      </c>
      <c r="O28" s="5">
        <v>825</v>
      </c>
      <c r="P28" s="5">
        <v>0</v>
      </c>
      <c r="Q28" s="5">
        <v>0</v>
      </c>
    </row>
    <row r="29" spans="1:17" x14ac:dyDescent="0.25">
      <c r="A29" t="s">
        <v>17</v>
      </c>
      <c r="B29" t="s">
        <v>18</v>
      </c>
      <c r="C29" t="s">
        <v>46</v>
      </c>
      <c r="D29" t="s">
        <v>47</v>
      </c>
      <c r="E29" t="s">
        <v>21</v>
      </c>
      <c r="F29" t="s">
        <v>22</v>
      </c>
      <c r="G29" t="s">
        <v>53</v>
      </c>
      <c r="H29" s="3">
        <f>DATEVALUE("2025/04/17 00:00:00")</f>
        <v>45764</v>
      </c>
      <c r="I29" s="3">
        <f>DATEVALUE("2025/04/22 00:00:00")</f>
        <v>45769</v>
      </c>
      <c r="J29" s="3">
        <f>DATEVALUE("2025/08/18 00:00:00")</f>
        <v>45887</v>
      </c>
      <c r="K29" s="3">
        <f>DATEVALUE("2025/08/25 00:00:00")</f>
        <v>45894</v>
      </c>
      <c r="L29" s="4">
        <v>366</v>
      </c>
      <c r="M29" s="5">
        <v>344.04</v>
      </c>
      <c r="N29" t="s">
        <v>34</v>
      </c>
      <c r="O29" s="5">
        <v>1061.4000000000001</v>
      </c>
      <c r="P29" s="5">
        <v>0</v>
      </c>
      <c r="Q29" s="5">
        <v>0</v>
      </c>
    </row>
    <row r="30" spans="1:17" x14ac:dyDescent="0.25">
      <c r="A30" t="s">
        <v>17</v>
      </c>
      <c r="B30" t="s">
        <v>18</v>
      </c>
      <c r="C30" t="s">
        <v>46</v>
      </c>
      <c r="D30" t="s">
        <v>47</v>
      </c>
      <c r="E30" t="s">
        <v>21</v>
      </c>
      <c r="F30" t="s">
        <v>22</v>
      </c>
      <c r="G30" t="s">
        <v>61</v>
      </c>
      <c r="H30" s="3">
        <f>DATEVALUE("2025/07/08 00:00:00")</f>
        <v>45846</v>
      </c>
      <c r="I30" s="3">
        <f>DATEVALUE("2025/07/08 00:00:00")</f>
        <v>45846</v>
      </c>
      <c r="J30" s="3">
        <f>DATEVALUE("2025/09/19 00:00:00")</f>
        <v>45919</v>
      </c>
      <c r="K30" s="3">
        <f>DATEVALUE("2025/10/17 00:00:00")</f>
        <v>45947</v>
      </c>
      <c r="L30" s="4">
        <v>400</v>
      </c>
      <c r="M30" s="5">
        <v>276</v>
      </c>
      <c r="N30" t="s">
        <v>34</v>
      </c>
      <c r="O30" s="5">
        <v>880</v>
      </c>
      <c r="P30" s="5">
        <v>0</v>
      </c>
      <c r="Q30" s="5">
        <v>0</v>
      </c>
    </row>
    <row r="31" spans="1:17" x14ac:dyDescent="0.25">
      <c r="A31" t="s">
        <v>17</v>
      </c>
      <c r="B31" t="s">
        <v>18</v>
      </c>
      <c r="C31" t="s">
        <v>62</v>
      </c>
      <c r="D31" t="s">
        <v>63</v>
      </c>
      <c r="E31" t="s">
        <v>31</v>
      </c>
      <c r="F31" t="s">
        <v>32</v>
      </c>
      <c r="G31" t="s">
        <v>64</v>
      </c>
      <c r="H31" s="3">
        <f t="shared" ref="H31:I36" si="0">DATEVALUE("2025/02/20 00:00:00")</f>
        <v>45708</v>
      </c>
      <c r="I31" s="3">
        <f t="shared" si="0"/>
        <v>45708</v>
      </c>
      <c r="J31" s="3">
        <f>DATEVALUE("2025/05/20 00:00:00")</f>
        <v>45797</v>
      </c>
      <c r="K31" s="3">
        <f>DATEVALUE("2025/05/29 00:00:00")</f>
        <v>45806</v>
      </c>
      <c r="L31" s="4">
        <v>7101</v>
      </c>
      <c r="M31" s="5">
        <v>12624.9</v>
      </c>
      <c r="N31" t="s">
        <v>24</v>
      </c>
      <c r="O31" s="5">
        <v>25322.639999999999</v>
      </c>
      <c r="P31" s="5">
        <v>0</v>
      </c>
      <c r="Q31" s="5">
        <v>0</v>
      </c>
    </row>
    <row r="32" spans="1:17" x14ac:dyDescent="0.25">
      <c r="A32" t="s">
        <v>17</v>
      </c>
      <c r="B32" t="s">
        <v>18</v>
      </c>
      <c r="C32" t="s">
        <v>62</v>
      </c>
      <c r="D32" t="s">
        <v>63</v>
      </c>
      <c r="E32" t="s">
        <v>31</v>
      </c>
      <c r="F32" t="s">
        <v>32</v>
      </c>
      <c r="G32" t="s">
        <v>65</v>
      </c>
      <c r="H32" s="3">
        <f t="shared" si="0"/>
        <v>45708</v>
      </c>
      <c r="I32" s="3">
        <f t="shared" si="0"/>
        <v>45708</v>
      </c>
      <c r="J32" s="3">
        <f>DATEVALUE("2025/07/24 00:00:00")</f>
        <v>45862</v>
      </c>
      <c r="K32" s="3">
        <f>DATEVALUE("2025/08/07 00:00:00")</f>
        <v>45876</v>
      </c>
      <c r="L32" s="4">
        <v>7063</v>
      </c>
      <c r="M32" s="5">
        <v>12860.7</v>
      </c>
      <c r="N32" t="s">
        <v>24</v>
      </c>
      <c r="O32" s="5">
        <v>25758.7</v>
      </c>
      <c r="P32" s="5">
        <v>0</v>
      </c>
      <c r="Q32" s="5">
        <v>0</v>
      </c>
    </row>
    <row r="33" spans="1:17" x14ac:dyDescent="0.25">
      <c r="A33" t="s">
        <v>17</v>
      </c>
      <c r="B33" t="s">
        <v>18</v>
      </c>
      <c r="C33" t="s">
        <v>62</v>
      </c>
      <c r="D33" t="s">
        <v>63</v>
      </c>
      <c r="E33" t="s">
        <v>56</v>
      </c>
      <c r="F33" t="s">
        <v>57</v>
      </c>
      <c r="G33" t="s">
        <v>64</v>
      </c>
      <c r="H33" s="3">
        <f t="shared" si="0"/>
        <v>45708</v>
      </c>
      <c r="I33" s="3">
        <f t="shared" si="0"/>
        <v>45708</v>
      </c>
      <c r="J33" s="3">
        <f>DATEVALUE("2025/05/20 00:00:00")</f>
        <v>45797</v>
      </c>
      <c r="K33" s="3">
        <f>DATEVALUE("2025/05/29 00:00:00")</f>
        <v>45806</v>
      </c>
      <c r="L33" s="4">
        <v>3580</v>
      </c>
      <c r="M33" s="5">
        <v>6886.6</v>
      </c>
      <c r="N33" t="s">
        <v>24</v>
      </c>
      <c r="O33" s="5">
        <v>12718.9</v>
      </c>
      <c r="P33" s="5">
        <v>0</v>
      </c>
      <c r="Q33" s="5">
        <v>0</v>
      </c>
    </row>
    <row r="34" spans="1:17" x14ac:dyDescent="0.25">
      <c r="A34" t="s">
        <v>17</v>
      </c>
      <c r="B34" t="s">
        <v>18</v>
      </c>
      <c r="C34" t="s">
        <v>62</v>
      </c>
      <c r="D34" t="s">
        <v>63</v>
      </c>
      <c r="E34" t="s">
        <v>56</v>
      </c>
      <c r="F34" t="s">
        <v>57</v>
      </c>
      <c r="G34" t="s">
        <v>65</v>
      </c>
      <c r="H34" s="3">
        <f t="shared" si="0"/>
        <v>45708</v>
      </c>
      <c r="I34" s="3">
        <f t="shared" si="0"/>
        <v>45708</v>
      </c>
      <c r="J34" s="3">
        <f>DATEVALUE("2025/07/24 00:00:00")</f>
        <v>45862</v>
      </c>
      <c r="K34" s="3">
        <f>DATEVALUE("2025/08/07 00:00:00")</f>
        <v>45876</v>
      </c>
      <c r="L34" s="4">
        <v>3570</v>
      </c>
      <c r="M34" s="5">
        <v>6870.1</v>
      </c>
      <c r="N34" t="s">
        <v>24</v>
      </c>
      <c r="O34" s="5">
        <v>12684.6</v>
      </c>
      <c r="P34" s="5">
        <v>0</v>
      </c>
      <c r="Q34" s="5">
        <v>0</v>
      </c>
    </row>
    <row r="35" spans="1:17" x14ac:dyDescent="0.25">
      <c r="A35" t="s">
        <v>17</v>
      </c>
      <c r="B35" t="s">
        <v>18</v>
      </c>
      <c r="C35" t="s">
        <v>62</v>
      </c>
      <c r="D35" t="s">
        <v>63</v>
      </c>
      <c r="E35" t="s">
        <v>66</v>
      </c>
      <c r="F35" t="s">
        <v>67</v>
      </c>
      <c r="G35" t="s">
        <v>64</v>
      </c>
      <c r="H35" s="3">
        <f t="shared" si="0"/>
        <v>45708</v>
      </c>
      <c r="I35" s="3">
        <f t="shared" si="0"/>
        <v>45708</v>
      </c>
      <c r="J35" s="3">
        <f>DATEVALUE("2025/05/20 00:00:00")</f>
        <v>45797</v>
      </c>
      <c r="K35" s="3">
        <f>DATEVALUE("2025/05/29 00:00:00")</f>
        <v>45806</v>
      </c>
      <c r="L35" s="4">
        <v>615</v>
      </c>
      <c r="M35" s="5">
        <v>1008.9</v>
      </c>
      <c r="N35" t="s">
        <v>24</v>
      </c>
      <c r="O35" s="5">
        <v>2066.9499999999998</v>
      </c>
      <c r="P35" s="5">
        <v>0</v>
      </c>
      <c r="Q35" s="5">
        <v>0</v>
      </c>
    </row>
    <row r="36" spans="1:17" x14ac:dyDescent="0.25">
      <c r="A36" t="s">
        <v>17</v>
      </c>
      <c r="B36" t="s">
        <v>18</v>
      </c>
      <c r="C36" t="s">
        <v>62</v>
      </c>
      <c r="D36" t="s">
        <v>63</v>
      </c>
      <c r="E36" t="s">
        <v>66</v>
      </c>
      <c r="F36" t="s">
        <v>67</v>
      </c>
      <c r="G36" t="s">
        <v>65</v>
      </c>
      <c r="H36" s="3">
        <f t="shared" si="0"/>
        <v>45708</v>
      </c>
      <c r="I36" s="3">
        <f t="shared" si="0"/>
        <v>45708</v>
      </c>
      <c r="J36" s="3">
        <f>DATEVALUE("2025/07/24 00:00:00")</f>
        <v>45862</v>
      </c>
      <c r="K36" s="3">
        <f>DATEVALUE("2025/08/07 00:00:00")</f>
        <v>45876</v>
      </c>
      <c r="L36" s="4">
        <v>405</v>
      </c>
      <c r="M36" s="5">
        <v>685.9</v>
      </c>
      <c r="N36" t="s">
        <v>24</v>
      </c>
      <c r="O36" s="5">
        <v>1396.15</v>
      </c>
      <c r="P36" s="5">
        <v>0</v>
      </c>
      <c r="Q36" s="5">
        <v>0</v>
      </c>
    </row>
    <row r="37" spans="1:17" x14ac:dyDescent="0.25">
      <c r="A37" t="s">
        <v>17</v>
      </c>
      <c r="B37" t="s">
        <v>18</v>
      </c>
      <c r="C37" t="s">
        <v>68</v>
      </c>
      <c r="D37" t="s">
        <v>69</v>
      </c>
      <c r="E37" t="s">
        <v>31</v>
      </c>
      <c r="F37" t="s">
        <v>32</v>
      </c>
      <c r="G37" t="s">
        <v>70</v>
      </c>
      <c r="H37" s="3">
        <f>DATEVALUE("2025/04/07 00:00:00")</f>
        <v>45754</v>
      </c>
      <c r="I37" s="3">
        <f>DATEVALUE("2025/04/09 00:00:00")</f>
        <v>45756</v>
      </c>
      <c r="J37" s="3">
        <f>DATEVALUE("2025/07/09 00:00:00")</f>
        <v>45847</v>
      </c>
      <c r="K37" s="3">
        <f>DATEVALUE("2025/07/23 00:00:00")</f>
        <v>45861</v>
      </c>
      <c r="L37" s="4">
        <v>10440</v>
      </c>
      <c r="M37" s="5">
        <v>21587.4</v>
      </c>
      <c r="N37" t="s">
        <v>24</v>
      </c>
      <c r="O37" s="5">
        <v>38543.800000000003</v>
      </c>
      <c r="P37" s="5">
        <v>0</v>
      </c>
      <c r="Q37" s="5">
        <v>0</v>
      </c>
    </row>
    <row r="38" spans="1:17" x14ac:dyDescent="0.25">
      <c r="A38" t="s">
        <v>17</v>
      </c>
      <c r="B38" t="s">
        <v>18</v>
      </c>
      <c r="C38" t="s">
        <v>68</v>
      </c>
      <c r="D38" t="s">
        <v>69</v>
      </c>
      <c r="E38" t="s">
        <v>31</v>
      </c>
      <c r="F38" t="s">
        <v>32</v>
      </c>
      <c r="G38" t="s">
        <v>71</v>
      </c>
      <c r="H38" s="3">
        <f>DATEVALUE("2025/04/30 00:00:00")</f>
        <v>45777</v>
      </c>
      <c r="I38" s="3">
        <f>DATEVALUE("2025/05/02 00:00:00")</f>
        <v>45779</v>
      </c>
      <c r="J38" s="3">
        <f>DATEVALUE("2025/08/25 00:00:00")</f>
        <v>45894</v>
      </c>
      <c r="K38" s="3">
        <f>DATEVALUE("2025/09/08 00:00:00")</f>
        <v>45908</v>
      </c>
      <c r="L38" s="4">
        <v>720</v>
      </c>
      <c r="M38" s="5">
        <v>8075.4</v>
      </c>
      <c r="N38" t="s">
        <v>24</v>
      </c>
      <c r="O38" s="5">
        <v>16939.400000000001</v>
      </c>
      <c r="P38" s="5">
        <v>0</v>
      </c>
      <c r="Q38" s="5">
        <v>0</v>
      </c>
    </row>
    <row r="39" spans="1:17" x14ac:dyDescent="0.25">
      <c r="A39" t="s">
        <v>17</v>
      </c>
      <c r="B39" t="s">
        <v>18</v>
      </c>
      <c r="C39" t="s">
        <v>68</v>
      </c>
      <c r="D39" t="s">
        <v>69</v>
      </c>
      <c r="E39" t="s">
        <v>31</v>
      </c>
      <c r="F39" t="s">
        <v>32</v>
      </c>
      <c r="G39" t="s">
        <v>72</v>
      </c>
      <c r="H39" s="3">
        <f>DATEVALUE("2025/04/30 00:00:00")</f>
        <v>45777</v>
      </c>
      <c r="I39" s="3">
        <f>DATEVALUE("2025/05/02 00:00:00")</f>
        <v>45779</v>
      </c>
      <c r="J39" s="3">
        <f>DATEVALUE("2025/08/01 00:00:00")</f>
        <v>45870</v>
      </c>
      <c r="K39" s="3">
        <f>DATEVALUE("2025/08/15 00:00:00")</f>
        <v>45884</v>
      </c>
      <c r="L39" s="4">
        <v>3400</v>
      </c>
      <c r="M39" s="5">
        <v>11330</v>
      </c>
      <c r="N39" t="s">
        <v>24</v>
      </c>
      <c r="O39" s="5">
        <v>19133.400000000001</v>
      </c>
      <c r="P39" s="5">
        <v>0</v>
      </c>
      <c r="Q39" s="5">
        <v>0</v>
      </c>
    </row>
    <row r="40" spans="1:17" x14ac:dyDescent="0.25">
      <c r="A40" t="s">
        <v>17</v>
      </c>
      <c r="B40" t="s">
        <v>18</v>
      </c>
      <c r="C40" t="s">
        <v>68</v>
      </c>
      <c r="D40" t="s">
        <v>69</v>
      </c>
      <c r="E40" t="s">
        <v>31</v>
      </c>
      <c r="F40" t="s">
        <v>32</v>
      </c>
      <c r="G40" t="s">
        <v>73</v>
      </c>
      <c r="H40" s="3">
        <f>DATEVALUE("2025/05/27 00:00:00")</f>
        <v>45804</v>
      </c>
      <c r="I40" s="3">
        <f>DATEVALUE("2025/05/28 00:00:00")</f>
        <v>45805</v>
      </c>
      <c r="J40" s="3">
        <f>DATEVALUE("2025/09/15 00:00:00")</f>
        <v>45915</v>
      </c>
      <c r="K40" s="3">
        <f>DATEVALUE("2025/09/29 00:00:00")</f>
        <v>45929</v>
      </c>
      <c r="L40" s="4">
        <v>300</v>
      </c>
      <c r="M40" s="5">
        <v>2343</v>
      </c>
      <c r="N40" t="s">
        <v>24</v>
      </c>
      <c r="O40" s="5">
        <v>5371</v>
      </c>
      <c r="P40" s="5">
        <v>0</v>
      </c>
      <c r="Q40" s="5">
        <v>0</v>
      </c>
    </row>
    <row r="41" spans="1:17" x14ac:dyDescent="0.25">
      <c r="A41" t="s">
        <v>17</v>
      </c>
      <c r="B41" t="s">
        <v>18</v>
      </c>
      <c r="C41" t="s">
        <v>68</v>
      </c>
      <c r="D41" t="s">
        <v>69</v>
      </c>
      <c r="E41" t="s">
        <v>31</v>
      </c>
      <c r="F41" t="s">
        <v>32</v>
      </c>
      <c r="G41" t="s">
        <v>74</v>
      </c>
      <c r="H41" s="3">
        <f>DATEVALUE("2025/07/09 00:00:00")</f>
        <v>45847</v>
      </c>
      <c r="I41" s="3">
        <f>DATEVALUE("2025/07/09 00:00:00")</f>
        <v>45847</v>
      </c>
      <c r="J41" s="3">
        <f>DATEVALUE("2025/11/05 00:00:00")</f>
        <v>45966</v>
      </c>
      <c r="K41" s="3">
        <f>DATEVALUE("2025/11/19 00:00:00")</f>
        <v>45980</v>
      </c>
      <c r="L41" s="4">
        <v>610</v>
      </c>
      <c r="M41" s="5">
        <v>2611.3000000000002</v>
      </c>
      <c r="N41" t="s">
        <v>24</v>
      </c>
      <c r="O41" s="5">
        <v>7671.7</v>
      </c>
      <c r="P41" s="5">
        <v>0</v>
      </c>
      <c r="Q41" s="5">
        <v>0</v>
      </c>
    </row>
    <row r="42" spans="1:17" x14ac:dyDescent="0.25">
      <c r="A42" t="s">
        <v>17</v>
      </c>
      <c r="B42" t="s">
        <v>18</v>
      </c>
      <c r="C42" t="s">
        <v>75</v>
      </c>
      <c r="D42" t="s">
        <v>76</v>
      </c>
      <c r="E42" t="s">
        <v>42</v>
      </c>
      <c r="F42" t="s">
        <v>43</v>
      </c>
      <c r="G42" t="s">
        <v>77</v>
      </c>
      <c r="H42" s="3">
        <f>DATEVALUE("2025/02/27 00:00:00")</f>
        <v>45715</v>
      </c>
      <c r="I42" s="3">
        <f>DATEVALUE("2025/02/27 00:00:00")</f>
        <v>45715</v>
      </c>
      <c r="J42" s="3">
        <f>DATEVALUE("2025/07/04 00:00:00")</f>
        <v>45842</v>
      </c>
      <c r="K42" s="3">
        <f>DATEVALUE("2025/07/21 00:00:00")</f>
        <v>45859</v>
      </c>
      <c r="L42" s="4">
        <v>19567</v>
      </c>
      <c r="M42" s="5">
        <v>131724.22</v>
      </c>
      <c r="N42" t="s">
        <v>24</v>
      </c>
      <c r="O42" s="5">
        <v>189806.02</v>
      </c>
      <c r="P42" s="5">
        <v>0</v>
      </c>
      <c r="Q42" s="5">
        <v>0</v>
      </c>
    </row>
    <row r="43" spans="1:17" x14ac:dyDescent="0.25">
      <c r="A43" t="s">
        <v>17</v>
      </c>
      <c r="B43" t="s">
        <v>18</v>
      </c>
      <c r="C43" t="s">
        <v>78</v>
      </c>
      <c r="D43" t="s">
        <v>79</v>
      </c>
      <c r="E43" t="s">
        <v>31</v>
      </c>
      <c r="F43" t="s">
        <v>32</v>
      </c>
      <c r="G43" t="s">
        <v>80</v>
      </c>
      <c r="H43" s="3">
        <f>DATEVALUE("2025/01/15 00:00:00")</f>
        <v>45672</v>
      </c>
      <c r="I43" s="3">
        <f>DATEVALUE("2025/01/16 00:00:00")</f>
        <v>45673</v>
      </c>
      <c r="J43" s="3">
        <f>DATEVALUE("2025/04/18 00:00:00")</f>
        <v>45765</v>
      </c>
      <c r="K43" s="3">
        <f>DATEVALUE("2025/05/02 00:00:00")</f>
        <v>45779</v>
      </c>
      <c r="L43" s="4">
        <v>1632</v>
      </c>
      <c r="M43" s="5">
        <v>2809.92</v>
      </c>
      <c r="N43" t="s">
        <v>24</v>
      </c>
      <c r="O43" s="5">
        <v>6298.56</v>
      </c>
      <c r="P43" s="5">
        <v>0</v>
      </c>
      <c r="Q43" s="5">
        <v>0</v>
      </c>
    </row>
    <row r="44" spans="1:17" x14ac:dyDescent="0.25">
      <c r="A44" t="s">
        <v>17</v>
      </c>
      <c r="B44" t="s">
        <v>18</v>
      </c>
      <c r="C44" t="s">
        <v>78</v>
      </c>
      <c r="D44" t="s">
        <v>79</v>
      </c>
      <c r="E44" t="s">
        <v>31</v>
      </c>
      <c r="F44" t="s">
        <v>32</v>
      </c>
      <c r="G44" t="s">
        <v>81</v>
      </c>
      <c r="H44" s="3">
        <f>DATEVALUE("2025/02/08 00:00:00")</f>
        <v>45696</v>
      </c>
      <c r="I44" s="3">
        <f>DATEVALUE("2025/02/08 00:00:00")</f>
        <v>45696</v>
      </c>
      <c r="J44" s="3">
        <f>DATEVALUE("2025/06/06 00:00:00")</f>
        <v>45814</v>
      </c>
      <c r="K44" s="3">
        <f>DATEVALUE("2025/06/20 00:00:00")</f>
        <v>45828</v>
      </c>
      <c r="L44" s="4">
        <v>10104</v>
      </c>
      <c r="M44" s="5">
        <v>26581.68</v>
      </c>
      <c r="N44" t="s">
        <v>24</v>
      </c>
      <c r="O44" s="5">
        <v>52410.720000000001</v>
      </c>
      <c r="P44" s="5">
        <v>0</v>
      </c>
      <c r="Q44" s="5">
        <v>0</v>
      </c>
    </row>
    <row r="45" spans="1:17" x14ac:dyDescent="0.25">
      <c r="A45" t="s">
        <v>17</v>
      </c>
      <c r="B45" t="s">
        <v>18</v>
      </c>
      <c r="C45" t="s">
        <v>78</v>
      </c>
      <c r="D45" t="s">
        <v>79</v>
      </c>
      <c r="E45" t="s">
        <v>31</v>
      </c>
      <c r="F45" t="s">
        <v>32</v>
      </c>
      <c r="G45" t="s">
        <v>82</v>
      </c>
      <c r="H45" s="3">
        <f>DATEVALUE("2025/05/22 00:00:00")</f>
        <v>45799</v>
      </c>
      <c r="I45" s="3">
        <f>DATEVALUE("2025/05/22 00:00:00")</f>
        <v>45799</v>
      </c>
      <c r="J45" s="3">
        <f>DATEVALUE("2025/08/27 00:00:00")</f>
        <v>45896</v>
      </c>
      <c r="K45" s="3">
        <f>DATEVALUE("2025/09/10 00:00:00")</f>
        <v>45910</v>
      </c>
      <c r="L45" s="4">
        <v>21024</v>
      </c>
      <c r="M45" s="5">
        <v>46093.919999999998</v>
      </c>
      <c r="N45" t="s">
        <v>24</v>
      </c>
      <c r="O45" s="5">
        <v>98608.320000000007</v>
      </c>
      <c r="P45" s="5">
        <v>0</v>
      </c>
      <c r="Q45" s="5">
        <v>0</v>
      </c>
    </row>
    <row r="46" spans="1:17" x14ac:dyDescent="0.25">
      <c r="A46" t="s">
        <v>17</v>
      </c>
      <c r="B46" t="s">
        <v>18</v>
      </c>
      <c r="C46" t="s">
        <v>78</v>
      </c>
      <c r="D46" t="s">
        <v>79</v>
      </c>
      <c r="E46" t="s">
        <v>31</v>
      </c>
      <c r="F46" t="s">
        <v>32</v>
      </c>
      <c r="G46" t="s">
        <v>83</v>
      </c>
      <c r="H46" s="3">
        <f>DATEVALUE("2025/06/30 00:00:00")</f>
        <v>45838</v>
      </c>
      <c r="I46" s="3">
        <f>DATEVALUE("2025/07/01 00:00:00")</f>
        <v>45839</v>
      </c>
      <c r="J46" s="3">
        <f>DATEVALUE("2025/10/06 00:00:00")</f>
        <v>45936</v>
      </c>
      <c r="K46" s="3">
        <f>DATEVALUE("2025/10/20 00:00:00")</f>
        <v>45950</v>
      </c>
      <c r="L46" s="4">
        <v>22752</v>
      </c>
      <c r="M46" s="5">
        <v>54605.04</v>
      </c>
      <c r="N46" t="s">
        <v>24</v>
      </c>
      <c r="O46" s="5">
        <v>117882</v>
      </c>
      <c r="P46" s="5">
        <v>0</v>
      </c>
      <c r="Q46" s="5">
        <v>0</v>
      </c>
    </row>
    <row r="47" spans="1:17" x14ac:dyDescent="0.25">
      <c r="A47" t="s">
        <v>17</v>
      </c>
      <c r="B47" t="s">
        <v>18</v>
      </c>
      <c r="C47" t="s">
        <v>78</v>
      </c>
      <c r="D47" t="s">
        <v>79</v>
      </c>
      <c r="E47" t="s">
        <v>56</v>
      </c>
      <c r="F47" t="s">
        <v>57</v>
      </c>
      <c r="G47" t="s">
        <v>80</v>
      </c>
      <c r="H47" s="3">
        <f>DATEVALUE("2025/01/15 00:00:00")</f>
        <v>45672</v>
      </c>
      <c r="I47" s="3">
        <f>DATEVALUE("2025/01/16 00:00:00")</f>
        <v>45673</v>
      </c>
      <c r="J47" s="3">
        <f>DATEVALUE("2025/04/18 00:00:00")</f>
        <v>45765</v>
      </c>
      <c r="K47" s="3">
        <f>DATEVALUE("2025/05/02 00:00:00")</f>
        <v>45779</v>
      </c>
      <c r="L47" s="4">
        <v>1440</v>
      </c>
      <c r="M47" s="5">
        <v>2592</v>
      </c>
      <c r="N47" t="s">
        <v>24</v>
      </c>
      <c r="O47" s="5">
        <v>4968</v>
      </c>
      <c r="P47" s="5">
        <v>0</v>
      </c>
      <c r="Q47" s="5">
        <v>0</v>
      </c>
    </row>
    <row r="48" spans="1:17" x14ac:dyDescent="0.25">
      <c r="A48" t="s">
        <v>17</v>
      </c>
      <c r="B48" t="s">
        <v>18</v>
      </c>
      <c r="C48" t="s">
        <v>78</v>
      </c>
      <c r="D48" t="s">
        <v>79</v>
      </c>
      <c r="E48" t="s">
        <v>56</v>
      </c>
      <c r="F48" t="s">
        <v>57</v>
      </c>
      <c r="G48" t="s">
        <v>81</v>
      </c>
      <c r="H48" s="3">
        <f>DATEVALUE("2025/02/08 00:00:00")</f>
        <v>45696</v>
      </c>
      <c r="I48" s="3">
        <f>DATEVALUE("2025/02/08 00:00:00")</f>
        <v>45696</v>
      </c>
      <c r="J48" s="3">
        <f>DATEVALUE("2025/05/06 00:00:00")</f>
        <v>45783</v>
      </c>
      <c r="K48" s="3">
        <f>DATEVALUE("2025/05/20 00:00:00")</f>
        <v>45797</v>
      </c>
      <c r="L48" s="4">
        <v>2880</v>
      </c>
      <c r="M48" s="5">
        <v>3945.6</v>
      </c>
      <c r="N48" t="s">
        <v>24</v>
      </c>
      <c r="O48" s="5">
        <v>7891.2</v>
      </c>
      <c r="P48" s="5">
        <v>0</v>
      </c>
      <c r="Q48" s="5">
        <v>0</v>
      </c>
    </row>
    <row r="49" spans="1:17" x14ac:dyDescent="0.25">
      <c r="A49" t="s">
        <v>17</v>
      </c>
      <c r="B49" t="s">
        <v>18</v>
      </c>
      <c r="C49" t="s">
        <v>78</v>
      </c>
      <c r="D49" t="s">
        <v>79</v>
      </c>
      <c r="E49" t="s">
        <v>56</v>
      </c>
      <c r="F49" t="s">
        <v>57</v>
      </c>
      <c r="G49" t="s">
        <v>82</v>
      </c>
      <c r="H49" s="3">
        <f>DATEVALUE("2025/05/22 00:00:00")</f>
        <v>45799</v>
      </c>
      <c r="I49" s="3">
        <f>DATEVALUE("2025/05/22 00:00:00")</f>
        <v>45799</v>
      </c>
      <c r="J49" s="3">
        <f>DATEVALUE("2025/08/27 00:00:00")</f>
        <v>45896</v>
      </c>
      <c r="K49" s="3">
        <f>DATEVALUE("2025/09/10 00:00:00")</f>
        <v>45910</v>
      </c>
      <c r="L49" s="4">
        <v>10776</v>
      </c>
      <c r="M49" s="5">
        <v>17793.36</v>
      </c>
      <c r="N49" t="s">
        <v>24</v>
      </c>
      <c r="O49" s="5">
        <v>35729.040000000001</v>
      </c>
      <c r="P49" s="5">
        <v>0</v>
      </c>
      <c r="Q49" s="5">
        <v>0</v>
      </c>
    </row>
    <row r="50" spans="1:17" x14ac:dyDescent="0.25">
      <c r="A50" t="s">
        <v>17</v>
      </c>
      <c r="B50" t="s">
        <v>18</v>
      </c>
      <c r="C50" t="s">
        <v>78</v>
      </c>
      <c r="D50" t="s">
        <v>79</v>
      </c>
      <c r="E50" t="s">
        <v>56</v>
      </c>
      <c r="F50" t="s">
        <v>57</v>
      </c>
      <c r="G50" t="s">
        <v>83</v>
      </c>
      <c r="H50" s="3">
        <f>DATEVALUE("2025/06/30 00:00:00")</f>
        <v>45838</v>
      </c>
      <c r="I50" s="3">
        <f>DATEVALUE("2025/07/01 00:00:00")</f>
        <v>45839</v>
      </c>
      <c r="J50" s="3">
        <f>DATEVALUE("2025/10/06 00:00:00")</f>
        <v>45936</v>
      </c>
      <c r="K50" s="3">
        <f>DATEVALUE("2025/10/20 00:00:00")</f>
        <v>45950</v>
      </c>
      <c r="L50" s="4">
        <v>5256</v>
      </c>
      <c r="M50" s="5">
        <v>10181.040000000001</v>
      </c>
      <c r="N50" t="s">
        <v>24</v>
      </c>
      <c r="O50" s="5">
        <v>20363.759999999998</v>
      </c>
      <c r="P50" s="5">
        <v>0</v>
      </c>
      <c r="Q50" s="5">
        <v>0</v>
      </c>
    </row>
    <row r="51" spans="1:17" x14ac:dyDescent="0.25">
      <c r="A51" t="s">
        <v>17</v>
      </c>
      <c r="B51" t="s">
        <v>18</v>
      </c>
      <c r="C51" t="s">
        <v>84</v>
      </c>
      <c r="D51" t="s">
        <v>85</v>
      </c>
      <c r="E51" t="s">
        <v>31</v>
      </c>
      <c r="F51" t="s">
        <v>32</v>
      </c>
      <c r="G51" t="s">
        <v>86</v>
      </c>
      <c r="H51" s="3">
        <f>DATEVALUE("2025/02/03 00:00:00")</f>
        <v>45691</v>
      </c>
      <c r="I51" s="3">
        <f>DATEVALUE("2025/02/03 00:00:00")</f>
        <v>45691</v>
      </c>
      <c r="J51" s="3">
        <f>DATEVALUE("2025/08/04 00:00:00")</f>
        <v>45873</v>
      </c>
      <c r="K51" s="3">
        <f>DATEVALUE("2025/08/18 00:00:00")</f>
        <v>45887</v>
      </c>
      <c r="L51" s="4">
        <v>4880</v>
      </c>
      <c r="M51" s="5">
        <v>10762.4</v>
      </c>
      <c r="N51" t="s">
        <v>24</v>
      </c>
      <c r="O51" s="5">
        <v>23395.200000000001</v>
      </c>
      <c r="P51" s="5">
        <v>0</v>
      </c>
      <c r="Q51" s="5">
        <v>0</v>
      </c>
    </row>
    <row r="52" spans="1:17" x14ac:dyDescent="0.25">
      <c r="A52" t="s">
        <v>17</v>
      </c>
      <c r="B52" t="s">
        <v>18</v>
      </c>
      <c r="C52" t="s">
        <v>84</v>
      </c>
      <c r="D52" t="s">
        <v>85</v>
      </c>
      <c r="E52" t="s">
        <v>31</v>
      </c>
      <c r="F52" t="s">
        <v>32</v>
      </c>
      <c r="G52" t="s">
        <v>87</v>
      </c>
      <c r="H52" s="3">
        <f>DATEVALUE("2025/04/14 00:00:00")</f>
        <v>45761</v>
      </c>
      <c r="I52" s="3">
        <f>DATEVALUE("2025/04/15 00:00:00")</f>
        <v>45762</v>
      </c>
      <c r="J52" s="3">
        <f>DATEVALUE("2025/07/25 00:00:00")</f>
        <v>45863</v>
      </c>
      <c r="K52" s="3">
        <f>DATEVALUE("2025/08/11 00:00:00")</f>
        <v>45880</v>
      </c>
      <c r="L52" s="4">
        <v>1800</v>
      </c>
      <c r="M52" s="5">
        <v>5940</v>
      </c>
      <c r="N52" t="s">
        <v>24</v>
      </c>
      <c r="O52" s="5">
        <v>25110</v>
      </c>
      <c r="P52" s="5">
        <v>0</v>
      </c>
      <c r="Q52" s="5">
        <v>0</v>
      </c>
    </row>
    <row r="53" spans="1:17" x14ac:dyDescent="0.25">
      <c r="A53" t="s">
        <v>17</v>
      </c>
      <c r="B53" t="s">
        <v>18</v>
      </c>
      <c r="C53" t="s">
        <v>84</v>
      </c>
      <c r="D53" t="s">
        <v>85</v>
      </c>
      <c r="E53" t="s">
        <v>31</v>
      </c>
      <c r="F53" t="s">
        <v>32</v>
      </c>
      <c r="G53" t="s">
        <v>88</v>
      </c>
      <c r="H53" s="3">
        <f>DATEVALUE("2025/05/07 00:00:00")</f>
        <v>45784</v>
      </c>
      <c r="I53" s="3">
        <f>DATEVALUE("2025/05/07 00:00:00")</f>
        <v>45784</v>
      </c>
      <c r="J53" s="3">
        <f>DATEVALUE("2025/07/28 00:00:00")</f>
        <v>45866</v>
      </c>
      <c r="K53" s="3">
        <f>DATEVALUE("2025/08/11 00:00:00")</f>
        <v>45880</v>
      </c>
      <c r="L53" s="4">
        <v>110</v>
      </c>
      <c r="M53" s="5">
        <v>484</v>
      </c>
      <c r="N53" t="s">
        <v>24</v>
      </c>
      <c r="O53" s="5">
        <v>1034</v>
      </c>
      <c r="P53" s="5">
        <v>0</v>
      </c>
      <c r="Q53" s="5">
        <v>0</v>
      </c>
    </row>
    <row r="54" spans="1:17" x14ac:dyDescent="0.25">
      <c r="A54" t="s">
        <v>17</v>
      </c>
      <c r="B54" t="s">
        <v>18</v>
      </c>
      <c r="C54" t="s">
        <v>84</v>
      </c>
      <c r="D54" t="s">
        <v>85</v>
      </c>
      <c r="E54" t="s">
        <v>31</v>
      </c>
      <c r="F54" t="s">
        <v>32</v>
      </c>
      <c r="G54" t="s">
        <v>89</v>
      </c>
      <c r="H54" s="3">
        <f>DATEVALUE("2025/05/20 00:00:00")</f>
        <v>45797</v>
      </c>
      <c r="I54" s="3">
        <f>DATEVALUE("2025/05/20 00:00:00")</f>
        <v>45797</v>
      </c>
      <c r="J54" s="3">
        <f>DATEVALUE("2025/08/30 00:00:00")</f>
        <v>45899</v>
      </c>
      <c r="K54" s="3">
        <f>DATEVALUE("2025/09/08 00:00:00")</f>
        <v>45908</v>
      </c>
      <c r="L54" s="4">
        <v>1500</v>
      </c>
      <c r="M54" s="5">
        <v>2745</v>
      </c>
      <c r="N54" t="s">
        <v>24</v>
      </c>
      <c r="O54" s="5">
        <v>10380</v>
      </c>
      <c r="P54" s="5">
        <v>0</v>
      </c>
      <c r="Q54" s="5">
        <v>0</v>
      </c>
    </row>
    <row r="55" spans="1:17" x14ac:dyDescent="0.25">
      <c r="A55" t="s">
        <v>17</v>
      </c>
      <c r="B55" t="s">
        <v>18</v>
      </c>
      <c r="C55" t="s">
        <v>84</v>
      </c>
      <c r="D55" t="s">
        <v>85</v>
      </c>
      <c r="E55" t="s">
        <v>31</v>
      </c>
      <c r="F55" t="s">
        <v>32</v>
      </c>
      <c r="G55" t="s">
        <v>90</v>
      </c>
      <c r="H55" s="3">
        <f>DATEVALUE("2025/06/05 00:00:00")</f>
        <v>45813</v>
      </c>
      <c r="I55" s="3">
        <f>DATEVALUE("2025/06/05 00:00:00")</f>
        <v>45813</v>
      </c>
      <c r="J55" s="3">
        <f>DATEVALUE("2025/11/03 00:00:00")</f>
        <v>45964</v>
      </c>
      <c r="K55" s="3">
        <f>DATEVALUE("2025/11/10 00:00:00")</f>
        <v>45971</v>
      </c>
      <c r="L55" s="4">
        <v>1800</v>
      </c>
      <c r="M55" s="5">
        <v>5940</v>
      </c>
      <c r="N55" t="s">
        <v>24</v>
      </c>
      <c r="O55" s="5">
        <v>26928</v>
      </c>
      <c r="P55" s="5">
        <v>0</v>
      </c>
      <c r="Q55" s="5">
        <v>0</v>
      </c>
    </row>
    <row r="56" spans="1:17" x14ac:dyDescent="0.25">
      <c r="A56" t="s">
        <v>17</v>
      </c>
      <c r="B56" t="s">
        <v>18</v>
      </c>
      <c r="C56" t="s">
        <v>84</v>
      </c>
      <c r="D56" t="s">
        <v>85</v>
      </c>
      <c r="E56" t="s">
        <v>56</v>
      </c>
      <c r="F56" t="s">
        <v>57</v>
      </c>
      <c r="G56" t="s">
        <v>87</v>
      </c>
      <c r="H56" s="3">
        <f>DATEVALUE("2025/04/14 00:00:00")</f>
        <v>45761</v>
      </c>
      <c r="I56" s="3">
        <f>DATEVALUE("2025/04/15 00:00:00")</f>
        <v>45762</v>
      </c>
      <c r="J56" s="3">
        <f>DATEVALUE("2025/07/25 00:00:00")</f>
        <v>45863</v>
      </c>
      <c r="K56" s="3">
        <f>DATEVALUE("2025/08/04 00:00:00")</f>
        <v>45873</v>
      </c>
      <c r="L56" s="4">
        <v>2660</v>
      </c>
      <c r="M56" s="5">
        <v>4708.2</v>
      </c>
      <c r="N56" t="s">
        <v>24</v>
      </c>
      <c r="O56" s="5">
        <v>11012.4</v>
      </c>
      <c r="P56" s="5">
        <v>0</v>
      </c>
      <c r="Q56" s="5">
        <v>0</v>
      </c>
    </row>
    <row r="57" spans="1:17" x14ac:dyDescent="0.25">
      <c r="A57" t="s">
        <v>17</v>
      </c>
      <c r="B57" t="s">
        <v>18</v>
      </c>
      <c r="C57" t="s">
        <v>84</v>
      </c>
      <c r="D57" t="s">
        <v>85</v>
      </c>
      <c r="E57" t="s">
        <v>56</v>
      </c>
      <c r="F57" t="s">
        <v>57</v>
      </c>
      <c r="G57" t="s">
        <v>90</v>
      </c>
      <c r="H57" s="3">
        <f>DATEVALUE("2025/06/05 00:00:00")</f>
        <v>45813</v>
      </c>
      <c r="I57" s="3">
        <f>DATEVALUE("2025/06/05 00:00:00")</f>
        <v>45813</v>
      </c>
      <c r="J57" s="3">
        <f>DATEVALUE("2025/09/08 00:00:00")</f>
        <v>45908</v>
      </c>
      <c r="K57" s="3">
        <f>DATEVALUE("2025/09/15 00:00:00")</f>
        <v>45915</v>
      </c>
      <c r="L57" s="4">
        <v>2780</v>
      </c>
      <c r="M57" s="5">
        <v>5110.6000000000004</v>
      </c>
      <c r="N57" t="s">
        <v>24</v>
      </c>
      <c r="O57" s="5">
        <v>11519.2</v>
      </c>
      <c r="P57" s="5">
        <v>0</v>
      </c>
      <c r="Q57" s="5">
        <v>0</v>
      </c>
    </row>
    <row r="58" spans="1:17" x14ac:dyDescent="0.25">
      <c r="A58" t="s">
        <v>17</v>
      </c>
      <c r="B58" t="s">
        <v>18</v>
      </c>
      <c r="C58" t="s">
        <v>84</v>
      </c>
      <c r="D58" t="s">
        <v>85</v>
      </c>
      <c r="E58" t="s">
        <v>21</v>
      </c>
      <c r="F58" t="s">
        <v>22</v>
      </c>
      <c r="G58" t="s">
        <v>91</v>
      </c>
      <c r="H58" s="3">
        <f>DATEVALUE("2025/01/06 00:00:00")</f>
        <v>45663</v>
      </c>
      <c r="I58" s="3">
        <f>DATEVALUE("2025/01/07 00:00:00")</f>
        <v>45664</v>
      </c>
      <c r="J58" s="3">
        <f>DATEVALUE("2025/06/23 00:00:00")</f>
        <v>45831</v>
      </c>
      <c r="K58" s="3">
        <f>DATEVALUE("2025/07/07 00:00:00")</f>
        <v>45845</v>
      </c>
      <c r="L58" s="4">
        <v>180</v>
      </c>
      <c r="M58" s="5">
        <v>459</v>
      </c>
      <c r="N58" t="s">
        <v>24</v>
      </c>
      <c r="O58" s="5">
        <v>1614.6</v>
      </c>
      <c r="P58" s="5">
        <v>0</v>
      </c>
      <c r="Q58" s="5">
        <v>0</v>
      </c>
    </row>
    <row r="59" spans="1:17" x14ac:dyDescent="0.25">
      <c r="A59" t="s">
        <v>17</v>
      </c>
      <c r="B59" t="s">
        <v>18</v>
      </c>
      <c r="C59" t="s">
        <v>84</v>
      </c>
      <c r="D59" t="s">
        <v>85</v>
      </c>
      <c r="E59" t="s">
        <v>21</v>
      </c>
      <c r="F59" t="s">
        <v>22</v>
      </c>
      <c r="G59" t="s">
        <v>86</v>
      </c>
      <c r="H59" s="3">
        <f>DATEVALUE("2025/02/03 00:00:00")</f>
        <v>45691</v>
      </c>
      <c r="I59" s="3">
        <f>DATEVALUE("2025/02/03 00:00:00")</f>
        <v>45691</v>
      </c>
      <c r="J59" s="3">
        <f>DATEVALUE("2025/06/23 00:00:00")</f>
        <v>45831</v>
      </c>
      <c r="K59" s="3">
        <f>DATEVALUE("2025/07/07 00:00:00")</f>
        <v>45845</v>
      </c>
      <c r="L59" s="4">
        <v>8100</v>
      </c>
      <c r="M59" s="5">
        <v>31185</v>
      </c>
      <c r="N59" t="s">
        <v>24</v>
      </c>
      <c r="O59" s="5">
        <v>61641</v>
      </c>
      <c r="P59" s="5">
        <v>0</v>
      </c>
      <c r="Q59" s="5">
        <v>0</v>
      </c>
    </row>
    <row r="60" spans="1:17" x14ac:dyDescent="0.25">
      <c r="A60" t="s">
        <v>17</v>
      </c>
      <c r="B60" t="s">
        <v>18</v>
      </c>
      <c r="C60" t="s">
        <v>84</v>
      </c>
      <c r="D60" t="s">
        <v>85</v>
      </c>
      <c r="E60" t="s">
        <v>21</v>
      </c>
      <c r="F60" t="s">
        <v>22</v>
      </c>
      <c r="G60" t="s">
        <v>90</v>
      </c>
      <c r="H60" s="3">
        <f>DATEVALUE("2025/06/05 00:00:00")</f>
        <v>45813</v>
      </c>
      <c r="I60" s="3">
        <f>DATEVALUE("2025/06/05 00:00:00")</f>
        <v>45813</v>
      </c>
      <c r="J60" s="3">
        <f>DATEVALUE("2025/10/13 00:00:00")</f>
        <v>45943</v>
      </c>
      <c r="K60" s="3">
        <f>DATEVALUE("2025/10/20 00:00:00")</f>
        <v>45950</v>
      </c>
      <c r="L60" s="4">
        <v>320</v>
      </c>
      <c r="M60" s="5">
        <v>1046.4000000000001</v>
      </c>
      <c r="N60" t="s">
        <v>24</v>
      </c>
      <c r="O60" s="5">
        <v>3520</v>
      </c>
      <c r="P60" s="5">
        <v>0</v>
      </c>
      <c r="Q60" s="5">
        <v>0</v>
      </c>
    </row>
    <row r="61" spans="1:17" x14ac:dyDescent="0.25">
      <c r="A61" t="s">
        <v>17</v>
      </c>
      <c r="B61" t="s">
        <v>18</v>
      </c>
      <c r="C61" t="s">
        <v>84</v>
      </c>
      <c r="D61" t="s">
        <v>85</v>
      </c>
      <c r="E61" t="s">
        <v>66</v>
      </c>
      <c r="F61" t="s">
        <v>67</v>
      </c>
      <c r="G61" t="s">
        <v>90</v>
      </c>
      <c r="H61" s="3">
        <f>DATEVALUE("2025/06/05 00:00:00")</f>
        <v>45813</v>
      </c>
      <c r="I61" s="3">
        <f>DATEVALUE("2025/06/05 00:00:00")</f>
        <v>45813</v>
      </c>
      <c r="J61" s="3">
        <f>DATEVALUE("2025/09/01 00:00:00")</f>
        <v>45901</v>
      </c>
      <c r="K61" s="3">
        <f>DATEVALUE("2025/09/08 00:00:00")</f>
        <v>45908</v>
      </c>
      <c r="L61" s="4">
        <v>480</v>
      </c>
      <c r="M61" s="5">
        <v>1123.2</v>
      </c>
      <c r="N61" t="s">
        <v>24</v>
      </c>
      <c r="O61" s="5">
        <v>2409.6</v>
      </c>
      <c r="P61" s="5">
        <v>0</v>
      </c>
      <c r="Q61" s="5">
        <v>0</v>
      </c>
    </row>
    <row r="62" spans="1:17" x14ac:dyDescent="0.25">
      <c r="A62" t="s">
        <v>17</v>
      </c>
      <c r="B62" t="s">
        <v>18</v>
      </c>
      <c r="C62" t="s">
        <v>92</v>
      </c>
      <c r="D62" t="s">
        <v>93</v>
      </c>
      <c r="E62" t="s">
        <v>31</v>
      </c>
      <c r="F62" t="s">
        <v>32</v>
      </c>
      <c r="G62" t="s">
        <v>94</v>
      </c>
      <c r="H62" s="3">
        <f>DATEVALUE("2025/04/24 00:00:00")</f>
        <v>45771</v>
      </c>
      <c r="I62" s="3">
        <f>DATEVALUE("2025/04/25 00:00:00")</f>
        <v>45772</v>
      </c>
      <c r="J62" s="3">
        <f>DATEVALUE("2025/08/15 00:00:00")</f>
        <v>45884</v>
      </c>
      <c r="K62" s="3">
        <f>DATEVALUE("2025/09/01 00:00:00")</f>
        <v>45901</v>
      </c>
      <c r="L62" s="4">
        <v>1020</v>
      </c>
      <c r="M62" s="5">
        <v>3366</v>
      </c>
      <c r="N62" t="s">
        <v>24</v>
      </c>
      <c r="O62" s="5">
        <v>18737.400000000001</v>
      </c>
      <c r="P62" s="5">
        <v>0</v>
      </c>
      <c r="Q62" s="5">
        <v>0</v>
      </c>
    </row>
    <row r="63" spans="1:17" x14ac:dyDescent="0.25">
      <c r="A63" t="s">
        <v>17</v>
      </c>
      <c r="B63" t="s">
        <v>18</v>
      </c>
      <c r="C63" t="s">
        <v>92</v>
      </c>
      <c r="D63" t="s">
        <v>93</v>
      </c>
      <c r="E63" t="s">
        <v>31</v>
      </c>
      <c r="F63" t="s">
        <v>32</v>
      </c>
      <c r="G63" t="s">
        <v>95</v>
      </c>
      <c r="H63" s="3">
        <f>DATEVALUE("2025/05/15 00:00:00")</f>
        <v>45792</v>
      </c>
      <c r="I63" s="3">
        <f>DATEVALUE("2025/05/15 00:00:00")</f>
        <v>45792</v>
      </c>
      <c r="J63" s="3">
        <f>DATEVALUE("2025/09/05 00:00:00")</f>
        <v>45905</v>
      </c>
      <c r="K63" s="3">
        <f>DATEVALUE("2025/09/19 00:00:00")</f>
        <v>45919</v>
      </c>
      <c r="L63" s="4">
        <v>1020</v>
      </c>
      <c r="M63" s="5">
        <v>3366</v>
      </c>
      <c r="N63" t="s">
        <v>24</v>
      </c>
      <c r="O63" s="5">
        <v>18737.400000000001</v>
      </c>
      <c r="P63" s="5">
        <v>0</v>
      </c>
      <c r="Q63" s="5">
        <v>0</v>
      </c>
    </row>
    <row r="64" spans="1:17" x14ac:dyDescent="0.25">
      <c r="A64" t="s">
        <v>17</v>
      </c>
      <c r="B64" t="s">
        <v>18</v>
      </c>
      <c r="C64" t="s">
        <v>92</v>
      </c>
      <c r="D64" t="s">
        <v>93</v>
      </c>
      <c r="E64" t="s">
        <v>31</v>
      </c>
      <c r="F64" t="s">
        <v>32</v>
      </c>
      <c r="G64" t="s">
        <v>96</v>
      </c>
      <c r="H64" s="3">
        <f>DATEVALUE("2025/06/05 00:00:00")</f>
        <v>45813</v>
      </c>
      <c r="I64" s="3">
        <f>DATEVALUE("2025/06/10 00:00:00")</f>
        <v>45818</v>
      </c>
      <c r="J64" s="3">
        <f>DATEVALUE("2025/10/10 00:00:00")</f>
        <v>45940</v>
      </c>
      <c r="K64" s="3">
        <f>DATEVALUE("2025/10/24 00:00:00")</f>
        <v>45954</v>
      </c>
      <c r="L64" s="4">
        <v>510</v>
      </c>
      <c r="M64" s="5">
        <v>1683</v>
      </c>
      <c r="N64" t="s">
        <v>24</v>
      </c>
      <c r="O64" s="5">
        <v>9562.5</v>
      </c>
      <c r="P64" s="5">
        <v>0</v>
      </c>
      <c r="Q64" s="5">
        <v>0</v>
      </c>
    </row>
    <row r="65" spans="1:17" x14ac:dyDescent="0.25">
      <c r="A65" t="s">
        <v>17</v>
      </c>
      <c r="B65" t="s">
        <v>18</v>
      </c>
      <c r="C65" t="s">
        <v>92</v>
      </c>
      <c r="D65" t="s">
        <v>93</v>
      </c>
      <c r="E65" t="s">
        <v>56</v>
      </c>
      <c r="F65" t="s">
        <v>57</v>
      </c>
      <c r="G65" t="s">
        <v>97</v>
      </c>
      <c r="H65" s="3">
        <f>DATEVALUE("2025/03/12 00:00:00")</f>
        <v>45728</v>
      </c>
      <c r="I65" s="3">
        <f>DATEVALUE("2025/03/13 00:00:00")</f>
        <v>45729</v>
      </c>
      <c r="J65" s="3">
        <f>DATEVALUE("2025/06/06 00:00:00")</f>
        <v>45814</v>
      </c>
      <c r="K65" s="3">
        <f>DATEVALUE("2025/06/20 00:00:00")</f>
        <v>45828</v>
      </c>
      <c r="L65" s="4">
        <v>980</v>
      </c>
      <c r="M65" s="5">
        <v>3175.2</v>
      </c>
      <c r="N65" t="s">
        <v>24</v>
      </c>
      <c r="O65" s="5">
        <v>7477.4</v>
      </c>
      <c r="P65" s="5">
        <v>0</v>
      </c>
      <c r="Q65" s="5">
        <v>0</v>
      </c>
    </row>
    <row r="66" spans="1:17" x14ac:dyDescent="0.25">
      <c r="A66" t="s">
        <v>17</v>
      </c>
      <c r="B66" t="s">
        <v>18</v>
      </c>
      <c r="C66" t="s">
        <v>92</v>
      </c>
      <c r="D66" t="s">
        <v>93</v>
      </c>
      <c r="E66" t="s">
        <v>56</v>
      </c>
      <c r="F66" t="s">
        <v>57</v>
      </c>
      <c r="G66" t="s">
        <v>96</v>
      </c>
      <c r="H66" s="3">
        <f>DATEVALUE("2025/06/05 00:00:00")</f>
        <v>45813</v>
      </c>
      <c r="I66" s="3">
        <f>DATEVALUE("2025/06/10 00:00:00")</f>
        <v>45818</v>
      </c>
      <c r="J66" s="3">
        <f>DATEVALUE("2025/08/25 00:00:00")</f>
        <v>45894</v>
      </c>
      <c r="K66" s="3">
        <f>DATEVALUE("2025/09/08 00:00:00")</f>
        <v>45908</v>
      </c>
      <c r="L66" s="4">
        <v>620</v>
      </c>
      <c r="M66" s="5">
        <v>1540.2</v>
      </c>
      <c r="N66" t="s">
        <v>24</v>
      </c>
      <c r="O66" s="5">
        <v>3858</v>
      </c>
      <c r="P66" s="5">
        <v>0</v>
      </c>
      <c r="Q66" s="5">
        <v>0</v>
      </c>
    </row>
    <row r="67" spans="1:17" x14ac:dyDescent="0.25">
      <c r="A67" t="s">
        <v>17</v>
      </c>
      <c r="B67" t="s">
        <v>18</v>
      </c>
      <c r="C67" t="s">
        <v>92</v>
      </c>
      <c r="D67" t="s">
        <v>93</v>
      </c>
      <c r="E67" t="s">
        <v>56</v>
      </c>
      <c r="F67" t="s">
        <v>57</v>
      </c>
      <c r="G67" t="s">
        <v>98</v>
      </c>
      <c r="H67" s="3">
        <f>DATEVALUE("2025/06/27 00:00:00")</f>
        <v>45835</v>
      </c>
      <c r="I67" s="3">
        <f>DATEVALUE("2025/06/30 00:00:00")</f>
        <v>45838</v>
      </c>
      <c r="J67" s="3">
        <f>DATEVALUE("2025/08/18 00:00:00")</f>
        <v>45887</v>
      </c>
      <c r="K67" s="3">
        <f>DATEVALUE("2025/09/01 00:00:00")</f>
        <v>45901</v>
      </c>
      <c r="L67" s="4">
        <v>500</v>
      </c>
      <c r="M67" s="5">
        <v>725</v>
      </c>
      <c r="N67" t="s">
        <v>24</v>
      </c>
      <c r="O67" s="5">
        <v>1790</v>
      </c>
      <c r="P67" s="5">
        <v>0</v>
      </c>
      <c r="Q67" s="5">
        <v>0</v>
      </c>
    </row>
    <row r="68" spans="1:17" x14ac:dyDescent="0.25">
      <c r="A68" t="s">
        <v>17</v>
      </c>
      <c r="B68" t="s">
        <v>18</v>
      </c>
      <c r="C68" t="s">
        <v>92</v>
      </c>
      <c r="D68" t="s">
        <v>93</v>
      </c>
      <c r="E68" t="s">
        <v>66</v>
      </c>
      <c r="F68" t="s">
        <v>67</v>
      </c>
      <c r="G68" t="s">
        <v>97</v>
      </c>
      <c r="H68" s="3">
        <f>DATEVALUE("2025/03/12 00:00:00")</f>
        <v>45728</v>
      </c>
      <c r="I68" s="3">
        <f>DATEVALUE("2025/03/13 00:00:00")</f>
        <v>45729</v>
      </c>
      <c r="J68" s="3">
        <f>DATEVALUE("2025/06/06 00:00:00")</f>
        <v>45814</v>
      </c>
      <c r="K68" s="3">
        <f>DATEVALUE("2025/06/20 00:00:00")</f>
        <v>45828</v>
      </c>
      <c r="L68" s="4">
        <v>480</v>
      </c>
      <c r="M68" s="5">
        <v>1108.8</v>
      </c>
      <c r="N68" t="s">
        <v>24</v>
      </c>
      <c r="O68" s="5">
        <v>3038.4</v>
      </c>
      <c r="P68" s="5">
        <v>0</v>
      </c>
      <c r="Q68" s="5">
        <v>0</v>
      </c>
    </row>
    <row r="69" spans="1:17" x14ac:dyDescent="0.25">
      <c r="A69" t="s">
        <v>17</v>
      </c>
      <c r="B69" t="s">
        <v>18</v>
      </c>
      <c r="C69" t="s">
        <v>92</v>
      </c>
      <c r="D69" t="s">
        <v>93</v>
      </c>
      <c r="E69" t="s">
        <v>66</v>
      </c>
      <c r="F69" t="s">
        <v>67</v>
      </c>
      <c r="G69" t="s">
        <v>94</v>
      </c>
      <c r="H69" s="3">
        <f>DATEVALUE("2025/04/24 00:00:00")</f>
        <v>45771</v>
      </c>
      <c r="I69" s="3">
        <f>DATEVALUE("2025/04/25 00:00:00")</f>
        <v>45772</v>
      </c>
      <c r="J69" s="3">
        <f>DATEVALUE("2025/07/28 00:00:00")</f>
        <v>45866</v>
      </c>
      <c r="K69" s="3">
        <f>DATEVALUE("2025/08/11 00:00:00")</f>
        <v>45880</v>
      </c>
      <c r="L69" s="4">
        <v>480</v>
      </c>
      <c r="M69" s="5">
        <v>1108.8</v>
      </c>
      <c r="N69" t="s">
        <v>24</v>
      </c>
      <c r="O69" s="5">
        <v>3038.4</v>
      </c>
      <c r="P69" s="5">
        <v>0</v>
      </c>
      <c r="Q69" s="5">
        <v>0</v>
      </c>
    </row>
    <row r="70" spans="1:17" x14ac:dyDescent="0.25">
      <c r="A70" t="s">
        <v>17</v>
      </c>
      <c r="B70" t="s">
        <v>18</v>
      </c>
      <c r="C70" t="s">
        <v>99</v>
      </c>
      <c r="D70" t="s">
        <v>100</v>
      </c>
      <c r="E70" t="s">
        <v>56</v>
      </c>
      <c r="F70" t="s">
        <v>57</v>
      </c>
      <c r="G70" t="s">
        <v>101</v>
      </c>
      <c r="H70" s="3">
        <f>DATEVALUE("2025/02/26 00:00:00")</f>
        <v>45714</v>
      </c>
      <c r="I70" s="3">
        <f>DATEVALUE("2025/02/26 00:00:00")</f>
        <v>45714</v>
      </c>
      <c r="J70" s="3">
        <f>DATEVALUE("2025/04/04 00:00:00")</f>
        <v>45751</v>
      </c>
      <c r="K70" s="3">
        <f>DATEVALUE("2025/04/11 00:00:00")</f>
        <v>45758</v>
      </c>
      <c r="L70" s="4">
        <v>14592</v>
      </c>
      <c r="M70" s="5">
        <v>22909.439999999999</v>
      </c>
      <c r="N70" t="s">
        <v>24</v>
      </c>
      <c r="O70" s="5">
        <v>38085.120000000003</v>
      </c>
      <c r="P70" s="5">
        <v>0</v>
      </c>
      <c r="Q70" s="5">
        <v>0</v>
      </c>
    </row>
    <row r="71" spans="1:17" x14ac:dyDescent="0.25">
      <c r="A71" t="s">
        <v>17</v>
      </c>
      <c r="B71" t="s">
        <v>18</v>
      </c>
      <c r="C71" t="s">
        <v>99</v>
      </c>
      <c r="D71" t="s">
        <v>100</v>
      </c>
      <c r="E71" t="s">
        <v>56</v>
      </c>
      <c r="F71" t="s">
        <v>57</v>
      </c>
      <c r="G71" t="s">
        <v>102</v>
      </c>
      <c r="H71" s="3">
        <f>DATEVALUE("2025/02/26 00:00:00")</f>
        <v>45714</v>
      </c>
      <c r="I71" s="3">
        <f>DATEVALUE("2025/02/26 00:00:00")</f>
        <v>45714</v>
      </c>
      <c r="J71" s="3">
        <f>DATEVALUE("2025/04/04 00:00:00")</f>
        <v>45751</v>
      </c>
      <c r="K71" s="3">
        <f>DATEVALUE("2025/04/11 00:00:00")</f>
        <v>45758</v>
      </c>
      <c r="L71" s="4">
        <v>14592</v>
      </c>
      <c r="M71" s="5">
        <v>22909.439999999999</v>
      </c>
      <c r="N71" t="s">
        <v>24</v>
      </c>
      <c r="O71" s="5">
        <v>38085.120000000003</v>
      </c>
      <c r="P71" s="5">
        <v>0</v>
      </c>
      <c r="Q71" s="5">
        <v>0</v>
      </c>
    </row>
    <row r="72" spans="1:17" x14ac:dyDescent="0.25">
      <c r="A72" t="s">
        <v>17</v>
      </c>
      <c r="B72" t="s">
        <v>18</v>
      </c>
      <c r="C72" t="s">
        <v>103</v>
      </c>
      <c r="D72" t="s">
        <v>104</v>
      </c>
      <c r="E72" t="s">
        <v>56</v>
      </c>
      <c r="F72" t="s">
        <v>57</v>
      </c>
      <c r="G72" t="s">
        <v>105</v>
      </c>
      <c r="H72" s="3">
        <f>DATEVALUE("2025/07/14 00:00:00")</f>
        <v>45852</v>
      </c>
      <c r="I72" s="3">
        <f>DATEVALUE("2025/07/14 00:00:00")</f>
        <v>45852</v>
      </c>
      <c r="J72" s="3">
        <f>DATEVALUE("2025/09/16 00:00:00")</f>
        <v>45916</v>
      </c>
      <c r="K72" s="3">
        <f>DATEVALUE("2025/09/30 00:00:00")</f>
        <v>45930</v>
      </c>
      <c r="L72" s="4">
        <v>9264</v>
      </c>
      <c r="M72" s="5">
        <v>16839.36</v>
      </c>
      <c r="N72" t="s">
        <v>24</v>
      </c>
      <c r="O72" s="5">
        <v>30747.360000000001</v>
      </c>
      <c r="P72" s="5">
        <v>0</v>
      </c>
      <c r="Q72" s="5">
        <v>0</v>
      </c>
    </row>
    <row r="73" spans="1:17" x14ac:dyDescent="0.25">
      <c r="A73" t="s">
        <v>17</v>
      </c>
      <c r="B73" t="s">
        <v>18</v>
      </c>
      <c r="C73" t="s">
        <v>103</v>
      </c>
      <c r="D73" t="s">
        <v>104</v>
      </c>
      <c r="E73" t="s">
        <v>21</v>
      </c>
      <c r="F73" t="s">
        <v>22</v>
      </c>
      <c r="G73" t="s">
        <v>106</v>
      </c>
      <c r="H73" s="3">
        <f>DATEVALUE("2025/02/11 00:00:00")</f>
        <v>45699</v>
      </c>
      <c r="I73" s="3">
        <f>DATEVALUE("2025/02/12 00:00:00")</f>
        <v>45700</v>
      </c>
      <c r="J73" s="3">
        <f>DATEVALUE("2025/05/25 00:00:00")</f>
        <v>45802</v>
      </c>
      <c r="K73" s="3">
        <f>DATEVALUE("2025/06/09 00:00:00")</f>
        <v>45817</v>
      </c>
      <c r="L73" s="4">
        <v>2520</v>
      </c>
      <c r="M73" s="5">
        <v>18144</v>
      </c>
      <c r="N73" t="s">
        <v>24</v>
      </c>
      <c r="O73" s="5">
        <v>39538.800000000003</v>
      </c>
      <c r="P73" s="5">
        <v>0</v>
      </c>
      <c r="Q73" s="5">
        <v>0</v>
      </c>
    </row>
    <row r="74" spans="1:17" x14ac:dyDescent="0.25">
      <c r="A74" t="s">
        <v>17</v>
      </c>
      <c r="B74" t="s">
        <v>18</v>
      </c>
      <c r="C74" t="s">
        <v>107</v>
      </c>
      <c r="D74" t="s">
        <v>108</v>
      </c>
      <c r="E74" t="s">
        <v>109</v>
      </c>
      <c r="F74" t="s">
        <v>110</v>
      </c>
      <c r="G74" t="s">
        <v>111</v>
      </c>
      <c r="H74" s="3">
        <f>DATEVALUE("2025/02/07 00:00:00")</f>
        <v>45695</v>
      </c>
      <c r="I74" s="3">
        <f>DATEVALUE("2025/02/08 00:00:00")</f>
        <v>45696</v>
      </c>
      <c r="J74" s="3">
        <f>DATEVALUE("2025/05/25 00:00:00")</f>
        <v>45802</v>
      </c>
      <c r="K74" s="3">
        <f>DATEVALUE("2025/05/29 00:00:00")</f>
        <v>45806</v>
      </c>
      <c r="L74" s="4">
        <v>0.4</v>
      </c>
      <c r="M74" s="5">
        <v>9.52</v>
      </c>
      <c r="N74" t="s">
        <v>24</v>
      </c>
      <c r="O74" s="5">
        <v>200</v>
      </c>
      <c r="P74" s="5">
        <v>0</v>
      </c>
      <c r="Q74" s="5">
        <v>0</v>
      </c>
    </row>
    <row r="75" spans="1:17" x14ac:dyDescent="0.25">
      <c r="A75" t="s">
        <v>17</v>
      </c>
      <c r="B75" t="s">
        <v>18</v>
      </c>
      <c r="C75" t="s">
        <v>107</v>
      </c>
      <c r="D75" t="s">
        <v>108</v>
      </c>
      <c r="E75" t="s">
        <v>109</v>
      </c>
      <c r="F75" t="s">
        <v>110</v>
      </c>
      <c r="G75" t="s">
        <v>112</v>
      </c>
      <c r="H75" s="3">
        <f>DATEVALUE("2025/05/08 00:00:00")</f>
        <v>45785</v>
      </c>
      <c r="I75" s="3">
        <f>DATEVALUE("2025/05/08 00:00:00")</f>
        <v>45785</v>
      </c>
      <c r="J75" s="3">
        <f>DATEVALUE("2025/06/25 00:00:00")</f>
        <v>45833</v>
      </c>
      <c r="K75" s="3">
        <f>DATEVALUE("2025/06/25 00:00:00")</f>
        <v>45833</v>
      </c>
      <c r="L75" s="4">
        <v>0.4</v>
      </c>
      <c r="M75" s="5">
        <v>9.52</v>
      </c>
      <c r="N75" t="s">
        <v>24</v>
      </c>
      <c r="O75" s="5">
        <v>200</v>
      </c>
      <c r="P75" s="5">
        <v>0</v>
      </c>
      <c r="Q75" s="5">
        <v>0</v>
      </c>
    </row>
    <row r="76" spans="1:17" x14ac:dyDescent="0.25">
      <c r="A76" t="s">
        <v>17</v>
      </c>
      <c r="B76" t="s">
        <v>18</v>
      </c>
      <c r="C76" t="s">
        <v>107</v>
      </c>
      <c r="D76" t="s">
        <v>108</v>
      </c>
      <c r="E76" t="s">
        <v>113</v>
      </c>
      <c r="F76" t="s">
        <v>114</v>
      </c>
      <c r="G76" t="s">
        <v>111</v>
      </c>
      <c r="H76" s="3">
        <f>DATEVALUE("2025/02/07 00:00:00")</f>
        <v>45695</v>
      </c>
      <c r="I76" s="3">
        <f>DATEVALUE("2025/02/08 00:00:00")</f>
        <v>45696</v>
      </c>
      <c r="J76" s="3">
        <f>DATEVALUE("2025/05/19 00:00:00")</f>
        <v>45796</v>
      </c>
      <c r="K76" s="3">
        <f>DATEVALUE("2025/06/02 00:00:00")</f>
        <v>45810</v>
      </c>
      <c r="L76" s="4">
        <v>5787.2</v>
      </c>
      <c r="M76" s="5">
        <v>18761.72</v>
      </c>
      <c r="N76" t="s">
        <v>24</v>
      </c>
      <c r="O76" s="5">
        <v>65831.039999999994</v>
      </c>
      <c r="P76" s="5">
        <v>0</v>
      </c>
      <c r="Q76" s="5">
        <v>0</v>
      </c>
    </row>
    <row r="77" spans="1:17" x14ac:dyDescent="0.25">
      <c r="A77" t="s">
        <v>17</v>
      </c>
      <c r="B77" t="s">
        <v>18</v>
      </c>
      <c r="C77" t="s">
        <v>107</v>
      </c>
      <c r="D77" t="s">
        <v>108</v>
      </c>
      <c r="E77" t="s">
        <v>113</v>
      </c>
      <c r="F77" t="s">
        <v>114</v>
      </c>
      <c r="G77" t="s">
        <v>115</v>
      </c>
      <c r="H77" s="3">
        <f t="shared" ref="H77:I84" si="1">DATEVALUE("2025/03/03 00:00:00")</f>
        <v>45719</v>
      </c>
      <c r="I77" s="3">
        <f t="shared" si="1"/>
        <v>45719</v>
      </c>
      <c r="J77" s="3">
        <f>DATEVALUE("2025/04/07 00:00:00")</f>
        <v>45754</v>
      </c>
      <c r="K77" s="3">
        <f>DATEVALUE("2025/04/21 00:00:00")</f>
        <v>45768</v>
      </c>
      <c r="L77" s="4">
        <v>4988.8</v>
      </c>
      <c r="M77" s="5">
        <v>17418.59</v>
      </c>
      <c r="N77" t="s">
        <v>24</v>
      </c>
      <c r="O77" s="5">
        <v>62087.68</v>
      </c>
      <c r="P77" s="5">
        <v>0</v>
      </c>
      <c r="Q77" s="5">
        <v>0</v>
      </c>
    </row>
    <row r="78" spans="1:17" x14ac:dyDescent="0.25">
      <c r="A78" t="s">
        <v>17</v>
      </c>
      <c r="B78" t="s">
        <v>18</v>
      </c>
      <c r="C78" t="s">
        <v>107</v>
      </c>
      <c r="D78" t="s">
        <v>108</v>
      </c>
      <c r="E78" t="s">
        <v>113</v>
      </c>
      <c r="F78" t="s">
        <v>114</v>
      </c>
      <c r="G78" t="s">
        <v>116</v>
      </c>
      <c r="H78" s="3">
        <f t="shared" si="1"/>
        <v>45719</v>
      </c>
      <c r="I78" s="3">
        <f t="shared" si="1"/>
        <v>45719</v>
      </c>
      <c r="J78" s="3">
        <f>DATEVALUE("2025/04/14 00:00:00")</f>
        <v>45761</v>
      </c>
      <c r="K78" s="3">
        <f>DATEVALUE("2025/04/28 00:00:00")</f>
        <v>45775</v>
      </c>
      <c r="L78" s="4">
        <v>4548.8</v>
      </c>
      <c r="M78" s="5">
        <v>16499.95</v>
      </c>
      <c r="N78" t="s">
        <v>24</v>
      </c>
      <c r="O78" s="5">
        <v>61818.239999999998</v>
      </c>
      <c r="P78" s="5">
        <v>0</v>
      </c>
      <c r="Q78" s="5">
        <v>0</v>
      </c>
    </row>
    <row r="79" spans="1:17" x14ac:dyDescent="0.25">
      <c r="A79" t="s">
        <v>17</v>
      </c>
      <c r="B79" t="s">
        <v>18</v>
      </c>
      <c r="C79" t="s">
        <v>107</v>
      </c>
      <c r="D79" t="s">
        <v>108</v>
      </c>
      <c r="E79" t="s">
        <v>113</v>
      </c>
      <c r="F79" t="s">
        <v>114</v>
      </c>
      <c r="G79" t="s">
        <v>117</v>
      </c>
      <c r="H79" s="3">
        <f t="shared" si="1"/>
        <v>45719</v>
      </c>
      <c r="I79" s="3">
        <f t="shared" si="1"/>
        <v>45719</v>
      </c>
      <c r="J79" s="3">
        <f>DATEVALUE("2025/04/14 00:00:00")</f>
        <v>45761</v>
      </c>
      <c r="K79" s="3">
        <f>DATEVALUE("2025/04/28 00:00:00")</f>
        <v>45775</v>
      </c>
      <c r="L79" s="4">
        <v>5115.2</v>
      </c>
      <c r="M79" s="5">
        <v>17813.169999999998</v>
      </c>
      <c r="N79" t="s">
        <v>24</v>
      </c>
      <c r="O79" s="5">
        <v>61930.879999999997</v>
      </c>
      <c r="P79" s="5">
        <v>0</v>
      </c>
      <c r="Q79" s="5">
        <v>0</v>
      </c>
    </row>
    <row r="80" spans="1:17" x14ac:dyDescent="0.25">
      <c r="A80" t="s">
        <v>17</v>
      </c>
      <c r="B80" t="s">
        <v>18</v>
      </c>
      <c r="C80" t="s">
        <v>107</v>
      </c>
      <c r="D80" t="s">
        <v>108</v>
      </c>
      <c r="E80" t="s">
        <v>113</v>
      </c>
      <c r="F80" t="s">
        <v>114</v>
      </c>
      <c r="G80" t="s">
        <v>118</v>
      </c>
      <c r="H80" s="3">
        <f t="shared" si="1"/>
        <v>45719</v>
      </c>
      <c r="I80" s="3">
        <f t="shared" si="1"/>
        <v>45719</v>
      </c>
      <c r="J80" s="3">
        <f>DATEVALUE("2025/04/21 00:00:00")</f>
        <v>45768</v>
      </c>
      <c r="K80" s="3">
        <f>DATEVALUE("2025/05/05 00:00:00")</f>
        <v>45782</v>
      </c>
      <c r="L80" s="4">
        <v>4888</v>
      </c>
      <c r="M80" s="5">
        <v>17264.53</v>
      </c>
      <c r="N80" t="s">
        <v>24</v>
      </c>
      <c r="O80" s="5">
        <v>61877.120000000003</v>
      </c>
      <c r="P80" s="5">
        <v>0</v>
      </c>
      <c r="Q80" s="5">
        <v>0</v>
      </c>
    </row>
    <row r="81" spans="1:17" x14ac:dyDescent="0.25">
      <c r="A81" t="s">
        <v>17</v>
      </c>
      <c r="B81" t="s">
        <v>18</v>
      </c>
      <c r="C81" t="s">
        <v>107</v>
      </c>
      <c r="D81" t="s">
        <v>108</v>
      </c>
      <c r="E81" t="s">
        <v>113</v>
      </c>
      <c r="F81" t="s">
        <v>114</v>
      </c>
      <c r="G81" t="s">
        <v>119</v>
      </c>
      <c r="H81" s="3">
        <f t="shared" si="1"/>
        <v>45719</v>
      </c>
      <c r="I81" s="3">
        <f t="shared" si="1"/>
        <v>45719</v>
      </c>
      <c r="J81" s="3">
        <f>DATEVALUE("2025/04/21 00:00:00")</f>
        <v>45768</v>
      </c>
      <c r="K81" s="3">
        <f>DATEVALUE("2025/05/05 00:00:00")</f>
        <v>45782</v>
      </c>
      <c r="L81" s="4">
        <v>5192</v>
      </c>
      <c r="M81" s="5">
        <v>17860.79</v>
      </c>
      <c r="N81" t="s">
        <v>24</v>
      </c>
      <c r="O81" s="5">
        <v>61911.68</v>
      </c>
      <c r="P81" s="5">
        <v>0</v>
      </c>
      <c r="Q81" s="5">
        <v>0</v>
      </c>
    </row>
    <row r="82" spans="1:17" x14ac:dyDescent="0.25">
      <c r="A82" t="s">
        <v>17</v>
      </c>
      <c r="B82" t="s">
        <v>18</v>
      </c>
      <c r="C82" t="s">
        <v>107</v>
      </c>
      <c r="D82" t="s">
        <v>108</v>
      </c>
      <c r="E82" t="s">
        <v>113</v>
      </c>
      <c r="F82" t="s">
        <v>114</v>
      </c>
      <c r="G82" t="s">
        <v>120</v>
      </c>
      <c r="H82" s="3">
        <f t="shared" si="1"/>
        <v>45719</v>
      </c>
      <c r="I82" s="3">
        <f t="shared" si="1"/>
        <v>45719</v>
      </c>
      <c r="J82" s="3">
        <f>DATEVALUE("2025/04/28 00:00:00")</f>
        <v>45775</v>
      </c>
      <c r="K82" s="3">
        <f>DATEVALUE("2025/05/12 00:00:00")</f>
        <v>45789</v>
      </c>
      <c r="L82" s="4">
        <v>5011.2</v>
      </c>
      <c r="M82" s="5">
        <v>17406.43</v>
      </c>
      <c r="N82" t="s">
        <v>24</v>
      </c>
      <c r="O82" s="5">
        <v>61835.519999999997</v>
      </c>
      <c r="P82" s="5">
        <v>0</v>
      </c>
      <c r="Q82" s="5">
        <v>0</v>
      </c>
    </row>
    <row r="83" spans="1:17" x14ac:dyDescent="0.25">
      <c r="A83" t="s">
        <v>17</v>
      </c>
      <c r="B83" t="s">
        <v>18</v>
      </c>
      <c r="C83" t="s">
        <v>107</v>
      </c>
      <c r="D83" t="s">
        <v>108</v>
      </c>
      <c r="E83" t="s">
        <v>113</v>
      </c>
      <c r="F83" t="s">
        <v>114</v>
      </c>
      <c r="G83" t="s">
        <v>121</v>
      </c>
      <c r="H83" s="3">
        <f t="shared" si="1"/>
        <v>45719</v>
      </c>
      <c r="I83" s="3">
        <f t="shared" si="1"/>
        <v>45719</v>
      </c>
      <c r="J83" s="3">
        <f>DATEVALUE("2025/04/28 00:00:00")</f>
        <v>45775</v>
      </c>
      <c r="K83" s="3">
        <f>DATEVALUE("2025/05/12 00:00:00")</f>
        <v>45789</v>
      </c>
      <c r="L83" s="4">
        <v>5246.4</v>
      </c>
      <c r="M83" s="5">
        <v>17969.39</v>
      </c>
      <c r="N83" t="s">
        <v>24</v>
      </c>
      <c r="O83" s="5">
        <v>61966.720000000001</v>
      </c>
      <c r="P83" s="5">
        <v>0</v>
      </c>
      <c r="Q83" s="5">
        <v>0</v>
      </c>
    </row>
    <row r="84" spans="1:17" x14ac:dyDescent="0.25">
      <c r="A84" t="s">
        <v>17</v>
      </c>
      <c r="B84" t="s">
        <v>18</v>
      </c>
      <c r="C84" t="s">
        <v>107</v>
      </c>
      <c r="D84" t="s">
        <v>108</v>
      </c>
      <c r="E84" t="s">
        <v>113</v>
      </c>
      <c r="F84" t="s">
        <v>114</v>
      </c>
      <c r="G84" t="s">
        <v>122</v>
      </c>
      <c r="H84" s="3">
        <f t="shared" si="1"/>
        <v>45719</v>
      </c>
      <c r="I84" s="3">
        <f t="shared" si="1"/>
        <v>45719</v>
      </c>
      <c r="J84" s="3">
        <f>DATEVALUE("2025/05/05 00:00:00")</f>
        <v>45782</v>
      </c>
      <c r="K84" s="3">
        <f>DATEVALUE("2025/05/19 00:00:00")</f>
        <v>45796</v>
      </c>
      <c r="L84" s="4">
        <v>5019.2</v>
      </c>
      <c r="M84" s="5">
        <v>17357.27</v>
      </c>
      <c r="N84" t="s">
        <v>24</v>
      </c>
      <c r="O84" s="5">
        <v>61915.519999999997</v>
      </c>
      <c r="P84" s="5">
        <v>0</v>
      </c>
      <c r="Q84" s="5">
        <v>0</v>
      </c>
    </row>
    <row r="85" spans="1:17" x14ac:dyDescent="0.25">
      <c r="A85" t="s">
        <v>17</v>
      </c>
      <c r="B85" t="s">
        <v>18</v>
      </c>
      <c r="C85" t="s">
        <v>107</v>
      </c>
      <c r="D85" t="s">
        <v>108</v>
      </c>
      <c r="E85" t="s">
        <v>113</v>
      </c>
      <c r="F85" t="s">
        <v>114</v>
      </c>
      <c r="G85" t="s">
        <v>123</v>
      </c>
      <c r="H85" s="3">
        <f t="shared" ref="H85:I88" si="2">DATEVALUE("2025/04/01 00:00:00")</f>
        <v>45748</v>
      </c>
      <c r="I85" s="3">
        <f t="shared" si="2"/>
        <v>45748</v>
      </c>
      <c r="J85" s="3">
        <f>DATEVALUE("2025/05/12 00:00:00")</f>
        <v>45789</v>
      </c>
      <c r="K85" s="3">
        <f>DATEVALUE("2025/05/26 00:00:00")</f>
        <v>45803</v>
      </c>
      <c r="L85" s="4">
        <v>5433.6</v>
      </c>
      <c r="M85" s="5">
        <v>17444.48</v>
      </c>
      <c r="N85" t="s">
        <v>24</v>
      </c>
      <c r="O85" s="5">
        <v>63104</v>
      </c>
      <c r="P85" s="5">
        <v>0</v>
      </c>
      <c r="Q85" s="5">
        <v>0</v>
      </c>
    </row>
    <row r="86" spans="1:17" x14ac:dyDescent="0.25">
      <c r="A86" t="s">
        <v>17</v>
      </c>
      <c r="B86" t="s">
        <v>18</v>
      </c>
      <c r="C86" t="s">
        <v>107</v>
      </c>
      <c r="D86" t="s">
        <v>108</v>
      </c>
      <c r="E86" t="s">
        <v>113</v>
      </c>
      <c r="F86" t="s">
        <v>114</v>
      </c>
      <c r="G86" t="s">
        <v>124</v>
      </c>
      <c r="H86" s="3">
        <f t="shared" si="2"/>
        <v>45748</v>
      </c>
      <c r="I86" s="3">
        <f t="shared" si="2"/>
        <v>45748</v>
      </c>
      <c r="J86" s="3">
        <f>DATEVALUE("2025/05/14 00:00:00")</f>
        <v>45791</v>
      </c>
      <c r="K86" s="3">
        <f>DATEVALUE("2025/05/26 00:00:00")</f>
        <v>45803</v>
      </c>
      <c r="L86" s="4">
        <v>5400</v>
      </c>
      <c r="M86" s="5">
        <v>17590.099999999999</v>
      </c>
      <c r="N86" t="s">
        <v>24</v>
      </c>
      <c r="O86" s="5">
        <v>62849.919999999998</v>
      </c>
      <c r="P86" s="5">
        <v>0</v>
      </c>
      <c r="Q86" s="5">
        <v>0</v>
      </c>
    </row>
    <row r="87" spans="1:17" x14ac:dyDescent="0.25">
      <c r="A87" t="s">
        <v>17</v>
      </c>
      <c r="B87" t="s">
        <v>18</v>
      </c>
      <c r="C87" t="s">
        <v>107</v>
      </c>
      <c r="D87" t="s">
        <v>108</v>
      </c>
      <c r="E87" t="s">
        <v>113</v>
      </c>
      <c r="F87" t="s">
        <v>114</v>
      </c>
      <c r="G87" t="s">
        <v>125</v>
      </c>
      <c r="H87" s="3">
        <f t="shared" si="2"/>
        <v>45748</v>
      </c>
      <c r="I87" s="3">
        <f t="shared" si="2"/>
        <v>45748</v>
      </c>
      <c r="J87" s="3">
        <f>DATEVALUE("2025/05/19 00:00:00")</f>
        <v>45796</v>
      </c>
      <c r="K87" s="3">
        <f>DATEVALUE("2025/06/02 00:00:00")</f>
        <v>45810</v>
      </c>
      <c r="L87" s="4">
        <v>5355.2</v>
      </c>
      <c r="M87" s="5">
        <v>17961.97</v>
      </c>
      <c r="N87" t="s">
        <v>24</v>
      </c>
      <c r="O87" s="5">
        <v>62437.760000000002</v>
      </c>
      <c r="P87" s="5">
        <v>0</v>
      </c>
      <c r="Q87" s="5">
        <v>0</v>
      </c>
    </row>
    <row r="88" spans="1:17" x14ac:dyDescent="0.25">
      <c r="A88" t="s">
        <v>17</v>
      </c>
      <c r="B88" t="s">
        <v>18</v>
      </c>
      <c r="C88" t="s">
        <v>107</v>
      </c>
      <c r="D88" t="s">
        <v>108</v>
      </c>
      <c r="E88" t="s">
        <v>113</v>
      </c>
      <c r="F88" t="s">
        <v>114</v>
      </c>
      <c r="G88" t="s">
        <v>126</v>
      </c>
      <c r="H88" s="3">
        <f t="shared" si="2"/>
        <v>45748</v>
      </c>
      <c r="I88" s="3">
        <f t="shared" si="2"/>
        <v>45748</v>
      </c>
      <c r="J88" s="3">
        <f>DATEVALUE("2025/05/19 00:00:00")</f>
        <v>45796</v>
      </c>
      <c r="K88" s="3">
        <f>DATEVALUE("2025/06/02 00:00:00")</f>
        <v>45810</v>
      </c>
      <c r="L88" s="4">
        <v>5224</v>
      </c>
      <c r="M88" s="5">
        <v>18343.759999999998</v>
      </c>
      <c r="N88" t="s">
        <v>24</v>
      </c>
      <c r="O88" s="5">
        <v>61477.760000000002</v>
      </c>
      <c r="P88" s="5">
        <v>0</v>
      </c>
      <c r="Q88" s="5">
        <v>0</v>
      </c>
    </row>
    <row r="89" spans="1:17" x14ac:dyDescent="0.25">
      <c r="A89" t="s">
        <v>17</v>
      </c>
      <c r="B89" t="s">
        <v>18</v>
      </c>
      <c r="C89" t="s">
        <v>107</v>
      </c>
      <c r="D89" t="s">
        <v>108</v>
      </c>
      <c r="E89" t="s">
        <v>113</v>
      </c>
      <c r="F89" t="s">
        <v>114</v>
      </c>
      <c r="G89" t="s">
        <v>127</v>
      </c>
      <c r="H89" s="3">
        <f t="shared" ref="H89:I92" si="3">DATEVALUE("2025/04/28 00:00:00")</f>
        <v>45775</v>
      </c>
      <c r="I89" s="3">
        <f t="shared" si="3"/>
        <v>45775</v>
      </c>
      <c r="J89" s="3">
        <f>DATEVALUE("2025/06/09 00:00:00")</f>
        <v>45817</v>
      </c>
      <c r="K89" s="3">
        <f>DATEVALUE("2025/06/23 00:00:00")</f>
        <v>45831</v>
      </c>
      <c r="L89" s="4">
        <v>5750.4</v>
      </c>
      <c r="M89" s="5">
        <v>19084.419999999998</v>
      </c>
      <c r="N89" t="s">
        <v>24</v>
      </c>
      <c r="O89" s="5">
        <v>65498.879999999997</v>
      </c>
      <c r="P89" s="5">
        <v>0</v>
      </c>
      <c r="Q89" s="5">
        <v>0</v>
      </c>
    </row>
    <row r="90" spans="1:17" x14ac:dyDescent="0.25">
      <c r="A90" t="s">
        <v>17</v>
      </c>
      <c r="B90" t="s">
        <v>18</v>
      </c>
      <c r="C90" t="s">
        <v>107</v>
      </c>
      <c r="D90" t="s">
        <v>108</v>
      </c>
      <c r="E90" t="s">
        <v>113</v>
      </c>
      <c r="F90" t="s">
        <v>114</v>
      </c>
      <c r="G90" t="s">
        <v>128</v>
      </c>
      <c r="H90" s="3">
        <f t="shared" si="3"/>
        <v>45775</v>
      </c>
      <c r="I90" s="3">
        <f t="shared" si="3"/>
        <v>45775</v>
      </c>
      <c r="J90" s="3">
        <f>DATEVALUE("2025/07/18 00:00:00")</f>
        <v>45856</v>
      </c>
      <c r="K90" s="3">
        <f>DATEVALUE("2025/06/23 00:00:00")</f>
        <v>45831</v>
      </c>
      <c r="L90" s="4">
        <v>6345.29</v>
      </c>
      <c r="M90" s="5">
        <v>20944.900000000001</v>
      </c>
      <c r="N90" t="s">
        <v>24</v>
      </c>
      <c r="O90" s="5">
        <v>74007.360000000001</v>
      </c>
      <c r="P90" s="5">
        <v>0</v>
      </c>
      <c r="Q90" s="5">
        <v>0</v>
      </c>
    </row>
    <row r="91" spans="1:17" x14ac:dyDescent="0.25">
      <c r="A91" t="s">
        <v>17</v>
      </c>
      <c r="B91" t="s">
        <v>18</v>
      </c>
      <c r="C91" t="s">
        <v>107</v>
      </c>
      <c r="D91" t="s">
        <v>108</v>
      </c>
      <c r="E91" t="s">
        <v>113</v>
      </c>
      <c r="F91" t="s">
        <v>114</v>
      </c>
      <c r="G91" t="s">
        <v>129</v>
      </c>
      <c r="H91" s="3">
        <f t="shared" si="3"/>
        <v>45775</v>
      </c>
      <c r="I91" s="3">
        <f t="shared" si="3"/>
        <v>45775</v>
      </c>
      <c r="J91" s="3">
        <f>DATEVALUE("2025/06/23 00:00:00")</f>
        <v>45831</v>
      </c>
      <c r="K91" s="3">
        <f>DATEVALUE("2025/07/07 00:00:00")</f>
        <v>45845</v>
      </c>
      <c r="L91" s="4">
        <v>5558.4</v>
      </c>
      <c r="M91" s="5">
        <v>18665.86</v>
      </c>
      <c r="N91" t="s">
        <v>24</v>
      </c>
      <c r="O91" s="5">
        <v>65272.32</v>
      </c>
      <c r="P91" s="5">
        <v>0</v>
      </c>
      <c r="Q91" s="5">
        <v>0</v>
      </c>
    </row>
    <row r="92" spans="1:17" x14ac:dyDescent="0.25">
      <c r="A92" t="s">
        <v>17</v>
      </c>
      <c r="B92" t="s">
        <v>18</v>
      </c>
      <c r="C92" t="s">
        <v>107</v>
      </c>
      <c r="D92" t="s">
        <v>108</v>
      </c>
      <c r="E92" t="s">
        <v>113</v>
      </c>
      <c r="F92" t="s">
        <v>114</v>
      </c>
      <c r="G92" t="s">
        <v>130</v>
      </c>
      <c r="H92" s="3">
        <f t="shared" si="3"/>
        <v>45775</v>
      </c>
      <c r="I92" s="3">
        <f t="shared" si="3"/>
        <v>45775</v>
      </c>
      <c r="J92" s="3">
        <f>DATEVALUE("2025/06/26 00:00:00")</f>
        <v>45834</v>
      </c>
      <c r="K92" s="3">
        <f>DATEVALUE("2025/07/10 00:00:00")</f>
        <v>45848</v>
      </c>
      <c r="L92" s="4">
        <v>5848</v>
      </c>
      <c r="M92" s="5">
        <v>19098.13</v>
      </c>
      <c r="N92" t="s">
        <v>24</v>
      </c>
      <c r="O92" s="5">
        <v>65644.160000000003</v>
      </c>
      <c r="P92" s="5">
        <v>0</v>
      </c>
      <c r="Q92" s="5">
        <v>0</v>
      </c>
    </row>
    <row r="93" spans="1:17" x14ac:dyDescent="0.25">
      <c r="A93" t="s">
        <v>17</v>
      </c>
      <c r="B93" t="s">
        <v>18</v>
      </c>
      <c r="C93" t="s">
        <v>107</v>
      </c>
      <c r="D93" t="s">
        <v>108</v>
      </c>
      <c r="E93" t="s">
        <v>113</v>
      </c>
      <c r="F93" t="s">
        <v>114</v>
      </c>
      <c r="G93" t="s">
        <v>131</v>
      </c>
      <c r="H93" s="3">
        <f t="shared" ref="H93:I100" si="4">DATEVALUE("2025/05/08 00:00:00")</f>
        <v>45785</v>
      </c>
      <c r="I93" s="3">
        <f t="shared" si="4"/>
        <v>45785</v>
      </c>
      <c r="J93" s="3">
        <f>DATEVALUE("2025/06/16 00:00:00")</f>
        <v>45824</v>
      </c>
      <c r="K93" s="3">
        <f>DATEVALUE("2025/06/30 00:00:00")</f>
        <v>45838</v>
      </c>
      <c r="L93" s="4">
        <v>5182.3999999999996</v>
      </c>
      <c r="M93" s="5">
        <v>17634.25</v>
      </c>
      <c r="N93" t="s">
        <v>24</v>
      </c>
      <c r="O93" s="5">
        <v>62258.559999999998</v>
      </c>
      <c r="P93" s="5">
        <v>0</v>
      </c>
      <c r="Q93" s="5">
        <v>0</v>
      </c>
    </row>
    <row r="94" spans="1:17" x14ac:dyDescent="0.25">
      <c r="A94" t="s">
        <v>17</v>
      </c>
      <c r="B94" t="s">
        <v>18</v>
      </c>
      <c r="C94" t="s">
        <v>107</v>
      </c>
      <c r="D94" t="s">
        <v>108</v>
      </c>
      <c r="E94" t="s">
        <v>113</v>
      </c>
      <c r="F94" t="s">
        <v>114</v>
      </c>
      <c r="G94" t="s">
        <v>132</v>
      </c>
      <c r="H94" s="3">
        <f t="shared" si="4"/>
        <v>45785</v>
      </c>
      <c r="I94" s="3">
        <f t="shared" si="4"/>
        <v>45785</v>
      </c>
      <c r="J94" s="3">
        <f>DATEVALUE("2025/06/14 00:00:00")</f>
        <v>45822</v>
      </c>
      <c r="K94" s="3">
        <f>DATEVALUE("2025/06/30 00:00:00")</f>
        <v>45838</v>
      </c>
      <c r="L94" s="4">
        <v>5233.6000000000004</v>
      </c>
      <c r="M94" s="5">
        <v>17792.97</v>
      </c>
      <c r="N94" t="s">
        <v>24</v>
      </c>
      <c r="O94" s="5">
        <v>62240.639999999999</v>
      </c>
      <c r="P94" s="5">
        <v>0</v>
      </c>
      <c r="Q94" s="5">
        <v>0</v>
      </c>
    </row>
    <row r="95" spans="1:17" x14ac:dyDescent="0.25">
      <c r="A95" t="s">
        <v>17</v>
      </c>
      <c r="B95" t="s">
        <v>18</v>
      </c>
      <c r="C95" t="s">
        <v>107</v>
      </c>
      <c r="D95" t="s">
        <v>108</v>
      </c>
      <c r="E95" t="s">
        <v>113</v>
      </c>
      <c r="F95" t="s">
        <v>114</v>
      </c>
      <c r="G95" t="s">
        <v>133</v>
      </c>
      <c r="H95" s="3">
        <f t="shared" si="4"/>
        <v>45785</v>
      </c>
      <c r="I95" s="3">
        <f t="shared" si="4"/>
        <v>45785</v>
      </c>
      <c r="J95" s="3">
        <f>DATEVALUE("2025/07/03 00:00:00")</f>
        <v>45841</v>
      </c>
      <c r="K95" s="3">
        <f>DATEVALUE("2025/07/17 00:00:00")</f>
        <v>45855</v>
      </c>
      <c r="L95" s="4">
        <v>5200</v>
      </c>
      <c r="M95" s="5">
        <v>17762.78</v>
      </c>
      <c r="N95" t="s">
        <v>24</v>
      </c>
      <c r="O95" s="5">
        <v>62169.599999999999</v>
      </c>
      <c r="P95" s="5">
        <v>0</v>
      </c>
      <c r="Q95" s="5">
        <v>0</v>
      </c>
    </row>
    <row r="96" spans="1:17" x14ac:dyDescent="0.25">
      <c r="A96" t="s">
        <v>17</v>
      </c>
      <c r="B96" t="s">
        <v>18</v>
      </c>
      <c r="C96" t="s">
        <v>107</v>
      </c>
      <c r="D96" t="s">
        <v>108</v>
      </c>
      <c r="E96" t="s">
        <v>113</v>
      </c>
      <c r="F96" t="s">
        <v>114</v>
      </c>
      <c r="G96" t="s">
        <v>134</v>
      </c>
      <c r="H96" s="3">
        <f t="shared" si="4"/>
        <v>45785</v>
      </c>
      <c r="I96" s="3">
        <f t="shared" si="4"/>
        <v>45785</v>
      </c>
      <c r="J96" s="3">
        <f>DATEVALUE("2025/06/16 00:00:00")</f>
        <v>45824</v>
      </c>
      <c r="K96" s="3">
        <f>DATEVALUE("2025/06/30 00:00:00")</f>
        <v>45838</v>
      </c>
      <c r="L96" s="4">
        <v>5251.2</v>
      </c>
      <c r="M96" s="5">
        <v>17921.5</v>
      </c>
      <c r="N96" t="s">
        <v>24</v>
      </c>
      <c r="O96" s="5">
        <v>62151.68</v>
      </c>
      <c r="P96" s="5">
        <v>0</v>
      </c>
      <c r="Q96" s="5">
        <v>0</v>
      </c>
    </row>
    <row r="97" spans="1:17" x14ac:dyDescent="0.25">
      <c r="A97" t="s">
        <v>17</v>
      </c>
      <c r="B97" t="s">
        <v>18</v>
      </c>
      <c r="C97" t="s">
        <v>107</v>
      </c>
      <c r="D97" t="s">
        <v>108</v>
      </c>
      <c r="E97" t="s">
        <v>113</v>
      </c>
      <c r="F97" t="s">
        <v>114</v>
      </c>
      <c r="G97" t="s">
        <v>135</v>
      </c>
      <c r="H97" s="3">
        <f t="shared" si="4"/>
        <v>45785</v>
      </c>
      <c r="I97" s="3">
        <f t="shared" si="4"/>
        <v>45785</v>
      </c>
      <c r="J97" s="3">
        <f>DATEVALUE("2025/06/23 00:00:00")</f>
        <v>45831</v>
      </c>
      <c r="K97" s="3">
        <f>DATEVALUE("2025/07/07 00:00:00")</f>
        <v>45845</v>
      </c>
      <c r="L97" s="4">
        <v>5297.6</v>
      </c>
      <c r="M97" s="5">
        <v>18015.79</v>
      </c>
      <c r="N97" t="s">
        <v>24</v>
      </c>
      <c r="O97" s="5">
        <v>62129.279999999999</v>
      </c>
      <c r="P97" s="5">
        <v>0</v>
      </c>
      <c r="Q97" s="5">
        <v>0</v>
      </c>
    </row>
    <row r="98" spans="1:17" x14ac:dyDescent="0.25">
      <c r="A98" t="s">
        <v>17</v>
      </c>
      <c r="B98" t="s">
        <v>18</v>
      </c>
      <c r="C98" t="s">
        <v>107</v>
      </c>
      <c r="D98" t="s">
        <v>108</v>
      </c>
      <c r="E98" t="s">
        <v>113</v>
      </c>
      <c r="F98" t="s">
        <v>114</v>
      </c>
      <c r="G98" t="s">
        <v>112</v>
      </c>
      <c r="H98" s="3">
        <f t="shared" si="4"/>
        <v>45785</v>
      </c>
      <c r="I98" s="3">
        <f t="shared" si="4"/>
        <v>45785</v>
      </c>
      <c r="J98" s="3">
        <f>DATEVALUE("2025/07/03 00:00:00")</f>
        <v>45841</v>
      </c>
      <c r="K98" s="3">
        <f>DATEVALUE("2025/07/17 00:00:00")</f>
        <v>45855</v>
      </c>
      <c r="L98" s="4">
        <v>5251.2</v>
      </c>
      <c r="M98" s="5">
        <v>17921.5</v>
      </c>
      <c r="N98" t="s">
        <v>24</v>
      </c>
      <c r="O98" s="5">
        <v>62151.68</v>
      </c>
      <c r="P98" s="5">
        <v>0</v>
      </c>
      <c r="Q98" s="5">
        <v>0</v>
      </c>
    </row>
    <row r="99" spans="1:17" x14ac:dyDescent="0.25">
      <c r="A99" t="s">
        <v>17</v>
      </c>
      <c r="B99" t="s">
        <v>18</v>
      </c>
      <c r="C99" t="s">
        <v>107</v>
      </c>
      <c r="D99" t="s">
        <v>108</v>
      </c>
      <c r="E99" t="s">
        <v>113</v>
      </c>
      <c r="F99" t="s">
        <v>114</v>
      </c>
      <c r="G99" t="s">
        <v>136</v>
      </c>
      <c r="H99" s="3">
        <f t="shared" si="4"/>
        <v>45785</v>
      </c>
      <c r="I99" s="3">
        <f t="shared" si="4"/>
        <v>45785</v>
      </c>
      <c r="J99" s="3">
        <f>DATEVALUE("2025/07/10 00:00:00")</f>
        <v>45848</v>
      </c>
      <c r="K99" s="3">
        <f>DATEVALUE("2025/07/24 00:00:00")</f>
        <v>45862</v>
      </c>
      <c r="L99" s="4">
        <v>5297.6</v>
      </c>
      <c r="M99" s="5">
        <v>18015.79</v>
      </c>
      <c r="N99" t="s">
        <v>24</v>
      </c>
      <c r="O99" s="5">
        <v>62129.279999999999</v>
      </c>
      <c r="P99" s="5">
        <v>0</v>
      </c>
      <c r="Q99" s="5">
        <v>0</v>
      </c>
    </row>
    <row r="100" spans="1:17" x14ac:dyDescent="0.25">
      <c r="A100" t="s">
        <v>17</v>
      </c>
      <c r="B100" t="s">
        <v>18</v>
      </c>
      <c r="C100" t="s">
        <v>107</v>
      </c>
      <c r="D100" t="s">
        <v>108</v>
      </c>
      <c r="E100" t="s">
        <v>113</v>
      </c>
      <c r="F100" t="s">
        <v>114</v>
      </c>
      <c r="G100" t="s">
        <v>137</v>
      </c>
      <c r="H100" s="3">
        <f t="shared" si="4"/>
        <v>45785</v>
      </c>
      <c r="I100" s="3">
        <f t="shared" si="4"/>
        <v>45785</v>
      </c>
      <c r="J100" s="3">
        <f>DATEVALUE("2025/07/10 00:00:00")</f>
        <v>45848</v>
      </c>
      <c r="K100" s="3">
        <f>DATEVALUE("2025/07/24 00:00:00")</f>
        <v>45862</v>
      </c>
      <c r="L100" s="4">
        <v>5272</v>
      </c>
      <c r="M100" s="5">
        <v>17999.919999999998</v>
      </c>
      <c r="N100" t="s">
        <v>24</v>
      </c>
      <c r="O100" s="5">
        <v>62135.68</v>
      </c>
      <c r="P100" s="5">
        <v>0</v>
      </c>
      <c r="Q100" s="5">
        <v>0</v>
      </c>
    </row>
    <row r="101" spans="1:17" x14ac:dyDescent="0.25">
      <c r="A101" t="s">
        <v>17</v>
      </c>
      <c r="B101" t="s">
        <v>18</v>
      </c>
      <c r="C101" t="s">
        <v>107</v>
      </c>
      <c r="D101" t="s">
        <v>108</v>
      </c>
      <c r="E101" t="s">
        <v>113</v>
      </c>
      <c r="F101" t="s">
        <v>114</v>
      </c>
      <c r="G101" t="s">
        <v>138</v>
      </c>
      <c r="H101" s="3">
        <f t="shared" ref="H101:I107" si="5">DATEVALUE("2025/06/09 00:00:00")</f>
        <v>45817</v>
      </c>
      <c r="I101" s="3">
        <f t="shared" si="5"/>
        <v>45817</v>
      </c>
      <c r="J101" s="3">
        <f>DATEVALUE("2025/07/14 00:00:00")</f>
        <v>45852</v>
      </c>
      <c r="K101" s="3">
        <f>DATEVALUE("2025/07/28 00:00:00")</f>
        <v>45866</v>
      </c>
      <c r="L101" s="4">
        <v>5313.6</v>
      </c>
      <c r="M101" s="5">
        <v>18037.439999999999</v>
      </c>
      <c r="N101" t="s">
        <v>24</v>
      </c>
      <c r="O101" s="5">
        <v>62286.720000000001</v>
      </c>
      <c r="P101" s="5">
        <v>0</v>
      </c>
      <c r="Q101" s="5">
        <v>0</v>
      </c>
    </row>
    <row r="102" spans="1:17" x14ac:dyDescent="0.25">
      <c r="A102" t="s">
        <v>17</v>
      </c>
      <c r="B102" t="s">
        <v>18</v>
      </c>
      <c r="C102" t="s">
        <v>107</v>
      </c>
      <c r="D102" t="s">
        <v>108</v>
      </c>
      <c r="E102" t="s">
        <v>113</v>
      </c>
      <c r="F102" t="s">
        <v>114</v>
      </c>
      <c r="G102" t="s">
        <v>139</v>
      </c>
      <c r="H102" s="3">
        <f t="shared" si="5"/>
        <v>45817</v>
      </c>
      <c r="I102" s="3">
        <f t="shared" si="5"/>
        <v>45817</v>
      </c>
      <c r="J102" s="3">
        <f>DATEVALUE("2025/07/21 00:00:00")</f>
        <v>45859</v>
      </c>
      <c r="K102" s="3">
        <f>DATEVALUE("2025/08/04 00:00:00")</f>
        <v>45873</v>
      </c>
      <c r="L102" s="4">
        <v>5360</v>
      </c>
      <c r="M102" s="5">
        <v>18135.04</v>
      </c>
      <c r="N102" t="s">
        <v>24</v>
      </c>
      <c r="O102" s="5">
        <v>62264.32</v>
      </c>
      <c r="P102" s="5">
        <v>0</v>
      </c>
      <c r="Q102" s="5">
        <v>0</v>
      </c>
    </row>
    <row r="103" spans="1:17" x14ac:dyDescent="0.25">
      <c r="A103" t="s">
        <v>17</v>
      </c>
      <c r="B103" t="s">
        <v>18</v>
      </c>
      <c r="C103" t="s">
        <v>107</v>
      </c>
      <c r="D103" t="s">
        <v>108</v>
      </c>
      <c r="E103" t="s">
        <v>113</v>
      </c>
      <c r="F103" t="s">
        <v>114</v>
      </c>
      <c r="G103" t="s">
        <v>140</v>
      </c>
      <c r="H103" s="3">
        <f t="shared" si="5"/>
        <v>45817</v>
      </c>
      <c r="I103" s="3">
        <f t="shared" si="5"/>
        <v>45817</v>
      </c>
      <c r="J103" s="3">
        <f>DATEVALUE("2025/08/01 00:00:00")</f>
        <v>45870</v>
      </c>
      <c r="K103" s="3">
        <f>DATEVALUE("2025/08/07 00:00:00")</f>
        <v>45876</v>
      </c>
      <c r="L103" s="4">
        <v>5342.4</v>
      </c>
      <c r="M103" s="5">
        <v>18064</v>
      </c>
      <c r="N103" t="s">
        <v>24</v>
      </c>
      <c r="O103" s="5">
        <v>62350.720000000001</v>
      </c>
      <c r="P103" s="5">
        <v>0</v>
      </c>
      <c r="Q103" s="5">
        <v>0</v>
      </c>
    </row>
    <row r="104" spans="1:17" x14ac:dyDescent="0.25">
      <c r="A104" t="s">
        <v>17</v>
      </c>
      <c r="B104" t="s">
        <v>18</v>
      </c>
      <c r="C104" t="s">
        <v>107</v>
      </c>
      <c r="D104" t="s">
        <v>108</v>
      </c>
      <c r="E104" t="s">
        <v>113</v>
      </c>
      <c r="F104" t="s">
        <v>114</v>
      </c>
      <c r="G104" t="s">
        <v>141</v>
      </c>
      <c r="H104" s="3">
        <f t="shared" si="5"/>
        <v>45817</v>
      </c>
      <c r="I104" s="3">
        <f t="shared" si="5"/>
        <v>45817</v>
      </c>
      <c r="J104" s="3">
        <f>DATEVALUE("2025/08/04 00:00:00")</f>
        <v>45873</v>
      </c>
      <c r="K104" s="3">
        <f>DATEVALUE("2025/08/11 00:00:00")</f>
        <v>45880</v>
      </c>
      <c r="L104" s="4">
        <v>5334.4</v>
      </c>
      <c r="M104" s="5">
        <v>18055.68</v>
      </c>
      <c r="N104" t="s">
        <v>24</v>
      </c>
      <c r="O104" s="5">
        <v>62273.279999999999</v>
      </c>
      <c r="P104" s="5">
        <v>0</v>
      </c>
      <c r="Q104" s="5">
        <v>0</v>
      </c>
    </row>
    <row r="105" spans="1:17" x14ac:dyDescent="0.25">
      <c r="A105" t="s">
        <v>17</v>
      </c>
      <c r="B105" t="s">
        <v>18</v>
      </c>
      <c r="C105" t="s">
        <v>107</v>
      </c>
      <c r="D105" t="s">
        <v>108</v>
      </c>
      <c r="E105" t="s">
        <v>113</v>
      </c>
      <c r="F105" t="s">
        <v>114</v>
      </c>
      <c r="G105" t="s">
        <v>142</v>
      </c>
      <c r="H105" s="3">
        <f t="shared" si="5"/>
        <v>45817</v>
      </c>
      <c r="I105" s="3">
        <f t="shared" si="5"/>
        <v>45817</v>
      </c>
      <c r="J105" s="3">
        <f>DATEVALUE("2025/08/01 00:00:00")</f>
        <v>45870</v>
      </c>
      <c r="K105" s="3">
        <f>DATEVALUE("2025/08/14 00:00:00")</f>
        <v>45883</v>
      </c>
      <c r="L105" s="4">
        <v>5313.6</v>
      </c>
      <c r="M105" s="5">
        <v>18037.439999999999</v>
      </c>
      <c r="N105" t="s">
        <v>24</v>
      </c>
      <c r="O105" s="5">
        <v>62286.720000000001</v>
      </c>
      <c r="P105" s="5">
        <v>0</v>
      </c>
      <c r="Q105" s="5">
        <v>0</v>
      </c>
    </row>
    <row r="106" spans="1:17" x14ac:dyDescent="0.25">
      <c r="A106" t="s">
        <v>17</v>
      </c>
      <c r="B106" t="s">
        <v>18</v>
      </c>
      <c r="C106" t="s">
        <v>107</v>
      </c>
      <c r="D106" t="s">
        <v>108</v>
      </c>
      <c r="E106" t="s">
        <v>113</v>
      </c>
      <c r="F106" t="s">
        <v>114</v>
      </c>
      <c r="G106" t="s">
        <v>143</v>
      </c>
      <c r="H106" s="3">
        <f t="shared" si="5"/>
        <v>45817</v>
      </c>
      <c r="I106" s="3">
        <f t="shared" si="5"/>
        <v>45817</v>
      </c>
      <c r="J106" s="3">
        <f>DATEVALUE("2025/08/04 00:00:00")</f>
        <v>45873</v>
      </c>
      <c r="K106" s="3">
        <f>DATEVALUE("2025/08/18 00:00:00")</f>
        <v>45887</v>
      </c>
      <c r="L106" s="4">
        <v>5368</v>
      </c>
      <c r="M106" s="5">
        <v>18082.560000000001</v>
      </c>
      <c r="N106" t="s">
        <v>24</v>
      </c>
      <c r="O106" s="5">
        <v>62344.32</v>
      </c>
      <c r="P106" s="5">
        <v>0</v>
      </c>
      <c r="Q106" s="5">
        <v>0</v>
      </c>
    </row>
    <row r="107" spans="1:17" x14ac:dyDescent="0.25">
      <c r="A107" t="s">
        <v>17</v>
      </c>
      <c r="B107" t="s">
        <v>18</v>
      </c>
      <c r="C107" t="s">
        <v>107</v>
      </c>
      <c r="D107" t="s">
        <v>108</v>
      </c>
      <c r="E107" t="s">
        <v>113</v>
      </c>
      <c r="F107" t="s">
        <v>114</v>
      </c>
      <c r="G107" t="s">
        <v>144</v>
      </c>
      <c r="H107" s="3">
        <f t="shared" si="5"/>
        <v>45817</v>
      </c>
      <c r="I107" s="3">
        <f t="shared" si="5"/>
        <v>45817</v>
      </c>
      <c r="J107" s="3">
        <f>DATEVALUE("2025/08/07 00:00:00")</f>
        <v>45876</v>
      </c>
      <c r="K107" s="3">
        <f>DATEVALUE("2025/08/21 00:00:00")</f>
        <v>45890</v>
      </c>
      <c r="L107" s="4">
        <v>5368</v>
      </c>
      <c r="M107" s="5">
        <v>18082.560000000001</v>
      </c>
      <c r="N107" t="s">
        <v>24</v>
      </c>
      <c r="O107" s="5">
        <v>62344.32</v>
      </c>
      <c r="P107" s="5">
        <v>0</v>
      </c>
      <c r="Q107" s="5">
        <v>0</v>
      </c>
    </row>
    <row r="108" spans="1:17" x14ac:dyDescent="0.25">
      <c r="A108" t="s">
        <v>17</v>
      </c>
      <c r="B108" t="s">
        <v>18</v>
      </c>
      <c r="C108" t="s">
        <v>107</v>
      </c>
      <c r="D108" t="s">
        <v>108</v>
      </c>
      <c r="E108" t="s">
        <v>113</v>
      </c>
      <c r="F108" t="s">
        <v>114</v>
      </c>
      <c r="G108" t="s">
        <v>145</v>
      </c>
      <c r="H108" s="3">
        <f>DATEVALUE("2025/06/09 00:00:00")</f>
        <v>45817</v>
      </c>
      <c r="I108" s="3">
        <f>DATEVALUE("2025/06/10 00:00:00")</f>
        <v>45818</v>
      </c>
      <c r="J108" s="3">
        <f>DATEVALUE("2025/09/05 00:00:00")</f>
        <v>45905</v>
      </c>
      <c r="K108" s="3">
        <f>DATEVALUE("2025/09/19 00:00:00")</f>
        <v>45919</v>
      </c>
      <c r="L108" s="4">
        <v>29520</v>
      </c>
      <c r="M108" s="5">
        <v>91512</v>
      </c>
      <c r="N108" t="s">
        <v>24</v>
      </c>
      <c r="O108" s="5">
        <v>295987.20000000001</v>
      </c>
      <c r="P108" s="5">
        <v>0</v>
      </c>
      <c r="Q108" s="5">
        <v>0</v>
      </c>
    </row>
    <row r="109" spans="1:17" x14ac:dyDescent="0.25">
      <c r="A109" t="s">
        <v>17</v>
      </c>
      <c r="B109" t="s">
        <v>18</v>
      </c>
      <c r="C109" t="s">
        <v>107</v>
      </c>
      <c r="D109" t="s">
        <v>108</v>
      </c>
      <c r="E109" t="s">
        <v>113</v>
      </c>
      <c r="F109" t="s">
        <v>114</v>
      </c>
      <c r="G109" t="s">
        <v>146</v>
      </c>
      <c r="H109" s="3">
        <f>DATEVALUE("2025/06/09 00:00:00")</f>
        <v>45817</v>
      </c>
      <c r="I109" s="3">
        <f>DATEVALUE("2025/06/10 00:00:00")</f>
        <v>45818</v>
      </c>
      <c r="J109" s="3">
        <f>DATEVALUE("2025/09/05 00:00:00")</f>
        <v>45905</v>
      </c>
      <c r="K109" s="3">
        <f>DATEVALUE("2025/09/19 00:00:00")</f>
        <v>45919</v>
      </c>
      <c r="L109" s="4">
        <v>13317</v>
      </c>
      <c r="M109" s="5">
        <v>50604.6</v>
      </c>
      <c r="N109" t="s">
        <v>24</v>
      </c>
      <c r="O109" s="5">
        <v>165594</v>
      </c>
      <c r="P109" s="5">
        <v>0</v>
      </c>
      <c r="Q109" s="5">
        <v>0</v>
      </c>
    </row>
    <row r="110" spans="1:17" x14ac:dyDescent="0.25">
      <c r="A110" t="s">
        <v>17</v>
      </c>
      <c r="B110" t="s">
        <v>18</v>
      </c>
      <c r="C110" t="s">
        <v>107</v>
      </c>
      <c r="D110" t="s">
        <v>108</v>
      </c>
      <c r="E110" t="s">
        <v>113</v>
      </c>
      <c r="F110" t="s">
        <v>114</v>
      </c>
      <c r="G110" t="s">
        <v>147</v>
      </c>
      <c r="H110" s="3">
        <f>DATEVALUE("2025/06/24 00:00:00")</f>
        <v>45832</v>
      </c>
      <c r="I110" s="3">
        <f>DATEVALUE("2025/06/24 00:00:00")</f>
        <v>45832</v>
      </c>
      <c r="J110" s="3">
        <f>DATEVALUE("2025/08/14 00:00:00")</f>
        <v>45883</v>
      </c>
      <c r="K110" s="3">
        <f>DATEVALUE("2025/08/28 00:00:00")</f>
        <v>45897</v>
      </c>
      <c r="L110" s="4">
        <v>5774.4</v>
      </c>
      <c r="M110" s="5">
        <v>18817.919999999998</v>
      </c>
      <c r="N110" t="s">
        <v>24</v>
      </c>
      <c r="O110" s="5">
        <v>62701.440000000002</v>
      </c>
      <c r="P110" s="5">
        <v>0</v>
      </c>
      <c r="Q110" s="5">
        <v>0</v>
      </c>
    </row>
    <row r="111" spans="1:17" x14ac:dyDescent="0.25">
      <c r="A111" t="s">
        <v>17</v>
      </c>
      <c r="B111" t="s">
        <v>18</v>
      </c>
      <c r="C111" t="s">
        <v>107</v>
      </c>
      <c r="D111" t="s">
        <v>108</v>
      </c>
      <c r="E111" t="s">
        <v>113</v>
      </c>
      <c r="F111" t="s">
        <v>114</v>
      </c>
      <c r="G111" t="s">
        <v>148</v>
      </c>
      <c r="H111" s="3">
        <f>DATEVALUE("2025/07/01 00:00:00")</f>
        <v>45839</v>
      </c>
      <c r="I111" s="3">
        <f>DATEVALUE("2025/07/01 00:00:00")</f>
        <v>45839</v>
      </c>
      <c r="J111" s="3">
        <f>DATEVALUE("2025/08/18 00:00:00")</f>
        <v>45887</v>
      </c>
      <c r="K111" s="3">
        <f>DATEVALUE("2025/09/01 00:00:00")</f>
        <v>45901</v>
      </c>
      <c r="L111" s="4">
        <v>5233.6000000000004</v>
      </c>
      <c r="M111" s="5">
        <v>17914.240000000002</v>
      </c>
      <c r="N111" t="s">
        <v>24</v>
      </c>
      <c r="O111" s="5">
        <v>62062.720000000001</v>
      </c>
      <c r="P111" s="5">
        <v>0</v>
      </c>
      <c r="Q111" s="5">
        <v>0</v>
      </c>
    </row>
    <row r="112" spans="1:17" x14ac:dyDescent="0.25">
      <c r="A112" t="s">
        <v>17</v>
      </c>
      <c r="B112" t="s">
        <v>18</v>
      </c>
      <c r="C112" t="s">
        <v>107</v>
      </c>
      <c r="D112" t="s">
        <v>108</v>
      </c>
      <c r="E112" t="s">
        <v>56</v>
      </c>
      <c r="F112" t="s">
        <v>57</v>
      </c>
      <c r="G112" t="s">
        <v>149</v>
      </c>
      <c r="H112" s="3">
        <f>DATEVALUE("2025/01/23 00:00:00")</f>
        <v>45680</v>
      </c>
      <c r="I112" s="3">
        <f>DATEVALUE("2025/01/24 00:00:00")</f>
        <v>45681</v>
      </c>
      <c r="J112" s="3">
        <f>DATEVALUE("2025/05/08 00:00:00")</f>
        <v>45785</v>
      </c>
      <c r="K112" s="3">
        <f>DATEVALUE("2025/05/22 00:00:00")</f>
        <v>45799</v>
      </c>
      <c r="L112" s="4">
        <v>768</v>
      </c>
      <c r="M112" s="5">
        <v>1205.76</v>
      </c>
      <c r="N112" t="s">
        <v>24</v>
      </c>
      <c r="O112" s="5">
        <v>2012.16</v>
      </c>
      <c r="P112" s="5">
        <v>0</v>
      </c>
      <c r="Q112" s="5">
        <v>0</v>
      </c>
    </row>
    <row r="113" spans="1:17" x14ac:dyDescent="0.25">
      <c r="A113" t="s">
        <v>17</v>
      </c>
      <c r="B113" t="s">
        <v>18</v>
      </c>
      <c r="C113" t="s">
        <v>107</v>
      </c>
      <c r="D113" t="s">
        <v>108</v>
      </c>
      <c r="E113" t="s">
        <v>150</v>
      </c>
      <c r="F113" t="s">
        <v>151</v>
      </c>
      <c r="G113" t="s">
        <v>152</v>
      </c>
      <c r="H113" s="3">
        <f>DATEVALUE("2025/01/06 00:00:00")</f>
        <v>45663</v>
      </c>
      <c r="I113" s="3">
        <f>DATEVALUE("2025/01/09 00:00:00")</f>
        <v>45666</v>
      </c>
      <c r="J113" s="3">
        <f>DATEVALUE("2025/05/17 00:00:00")</f>
        <v>45794</v>
      </c>
      <c r="K113" s="3">
        <f>DATEVALUE("2025/05/31 00:00:00")</f>
        <v>45808</v>
      </c>
      <c r="L113" s="4">
        <v>597.84</v>
      </c>
      <c r="M113" s="5">
        <v>13736.46</v>
      </c>
      <c r="N113" t="s">
        <v>24</v>
      </c>
      <c r="O113" s="5">
        <v>128317.84</v>
      </c>
      <c r="P113" s="5">
        <v>0</v>
      </c>
      <c r="Q113" s="5">
        <v>0</v>
      </c>
    </row>
    <row r="114" spans="1:17" x14ac:dyDescent="0.25">
      <c r="A114" t="s">
        <v>17</v>
      </c>
      <c r="B114" t="s">
        <v>18</v>
      </c>
      <c r="C114" t="s">
        <v>107</v>
      </c>
      <c r="D114" t="s">
        <v>108</v>
      </c>
      <c r="E114" t="s">
        <v>150</v>
      </c>
      <c r="F114" t="s">
        <v>151</v>
      </c>
      <c r="G114" t="s">
        <v>153</v>
      </c>
      <c r="H114" s="3">
        <f>DATEVALUE("2025/01/22 00:00:00")</f>
        <v>45679</v>
      </c>
      <c r="I114" s="3">
        <f>DATEVALUE("2025/01/24 00:00:00")</f>
        <v>45681</v>
      </c>
      <c r="J114" s="3">
        <f>DATEVALUE("2025/05/30 00:00:00")</f>
        <v>45807</v>
      </c>
      <c r="K114" s="3">
        <f>DATEVALUE("2025/06/16 00:00:00")</f>
        <v>45824</v>
      </c>
      <c r="L114" s="4">
        <v>558.64</v>
      </c>
      <c r="M114" s="5">
        <v>14972.26</v>
      </c>
      <c r="N114" t="s">
        <v>24</v>
      </c>
      <c r="O114" s="5">
        <v>135591.67999999999</v>
      </c>
      <c r="P114" s="5">
        <v>0</v>
      </c>
      <c r="Q114" s="5">
        <v>0</v>
      </c>
    </row>
    <row r="115" spans="1:17" x14ac:dyDescent="0.25">
      <c r="A115" t="s">
        <v>17</v>
      </c>
      <c r="B115" t="s">
        <v>18</v>
      </c>
      <c r="C115" t="s">
        <v>107</v>
      </c>
      <c r="D115" t="s">
        <v>108</v>
      </c>
      <c r="E115" t="s">
        <v>150</v>
      </c>
      <c r="F115" t="s">
        <v>151</v>
      </c>
      <c r="G115" t="s">
        <v>154</v>
      </c>
      <c r="H115" s="3">
        <f>DATEVALUE("2025/02/12 00:00:00")</f>
        <v>45700</v>
      </c>
      <c r="I115" s="3">
        <f>DATEVALUE("2025/02/12 00:00:00")</f>
        <v>45700</v>
      </c>
      <c r="J115" s="3">
        <f>DATEVALUE("2025/06/06 00:00:00")</f>
        <v>45814</v>
      </c>
      <c r="K115" s="3">
        <f>DATEVALUE("2025/06/20 00:00:00")</f>
        <v>45828</v>
      </c>
      <c r="L115" s="4">
        <v>817.2</v>
      </c>
      <c r="M115" s="5">
        <v>14954.76</v>
      </c>
      <c r="N115" t="s">
        <v>24</v>
      </c>
      <c r="O115" s="5">
        <v>130513.68</v>
      </c>
      <c r="P115" s="5">
        <v>0</v>
      </c>
      <c r="Q115" s="5">
        <v>0</v>
      </c>
    </row>
    <row r="116" spans="1:17" x14ac:dyDescent="0.25">
      <c r="A116" t="s">
        <v>17</v>
      </c>
      <c r="B116" t="s">
        <v>18</v>
      </c>
      <c r="C116" t="s">
        <v>107</v>
      </c>
      <c r="D116" t="s">
        <v>108</v>
      </c>
      <c r="E116" t="s">
        <v>150</v>
      </c>
      <c r="F116" t="s">
        <v>151</v>
      </c>
      <c r="G116" t="s">
        <v>155</v>
      </c>
      <c r="H116" s="3">
        <f>DATEVALUE("2025/04/15 00:00:00")</f>
        <v>45762</v>
      </c>
      <c r="I116" s="3">
        <f>DATEVALUE("2025/04/16 00:00:00")</f>
        <v>45763</v>
      </c>
      <c r="J116" s="3">
        <f>DATEVALUE("2025/08/20 00:00:00")</f>
        <v>45889</v>
      </c>
      <c r="K116" s="3">
        <f>DATEVALUE("2025/09/04 00:00:00")</f>
        <v>45904</v>
      </c>
      <c r="L116" s="4">
        <v>563.79999999999995</v>
      </c>
      <c r="M116" s="5">
        <v>13944.86</v>
      </c>
      <c r="N116" t="s">
        <v>24</v>
      </c>
      <c r="O116" s="5">
        <v>124331.76</v>
      </c>
      <c r="P116" s="5">
        <v>0</v>
      </c>
      <c r="Q116" s="5">
        <v>0</v>
      </c>
    </row>
    <row r="117" spans="1:17" x14ac:dyDescent="0.25">
      <c r="A117" t="s">
        <v>17</v>
      </c>
      <c r="B117" t="s">
        <v>18</v>
      </c>
      <c r="C117" t="s">
        <v>107</v>
      </c>
      <c r="D117" t="s">
        <v>108</v>
      </c>
      <c r="E117" t="s">
        <v>150</v>
      </c>
      <c r="F117" t="s">
        <v>151</v>
      </c>
      <c r="G117" t="s">
        <v>156</v>
      </c>
      <c r="H117" s="3">
        <f>DATEVALUE("2025/05/20 00:00:00")</f>
        <v>45797</v>
      </c>
      <c r="I117" s="3">
        <f>DATEVALUE("2025/05/22 00:00:00")</f>
        <v>45799</v>
      </c>
      <c r="J117" s="3">
        <f>DATEVALUE("2025/09/30 00:00:00")</f>
        <v>45930</v>
      </c>
      <c r="K117" s="3">
        <f>DATEVALUE("2025/10/14 00:00:00")</f>
        <v>45944</v>
      </c>
      <c r="L117" s="4">
        <v>291.60000000000002</v>
      </c>
      <c r="M117" s="5">
        <v>7259.76</v>
      </c>
      <c r="N117" t="s">
        <v>24</v>
      </c>
      <c r="O117" s="5">
        <v>63929.52</v>
      </c>
      <c r="P117" s="5">
        <v>0</v>
      </c>
      <c r="Q117" s="5">
        <v>0</v>
      </c>
    </row>
    <row r="118" spans="1:17" x14ac:dyDescent="0.25">
      <c r="A118" t="s">
        <v>17</v>
      </c>
      <c r="B118" t="s">
        <v>18</v>
      </c>
      <c r="C118" t="s">
        <v>107</v>
      </c>
      <c r="D118" t="s">
        <v>108</v>
      </c>
      <c r="E118" t="s">
        <v>150</v>
      </c>
      <c r="F118" t="s">
        <v>151</v>
      </c>
      <c r="G118" t="s">
        <v>157</v>
      </c>
      <c r="H118" s="3">
        <f>DATEVALUE("2025/06/03 00:00:00")</f>
        <v>45811</v>
      </c>
      <c r="I118" s="3">
        <f>DATEVALUE("2025/06/04 00:00:00")</f>
        <v>45812</v>
      </c>
      <c r="J118" s="3">
        <f>DATEVALUE("2025/10/23 00:00:00")</f>
        <v>45953</v>
      </c>
      <c r="K118" s="3">
        <f>DATEVALUE("2025/11/06 00:00:00")</f>
        <v>45967</v>
      </c>
      <c r="L118" s="4">
        <v>594.04</v>
      </c>
      <c r="M118" s="5">
        <v>14798.35</v>
      </c>
      <c r="N118" t="s">
        <v>24</v>
      </c>
      <c r="O118" s="5">
        <v>148340.16</v>
      </c>
      <c r="P118" s="5">
        <v>0</v>
      </c>
      <c r="Q118" s="5">
        <v>0</v>
      </c>
    </row>
    <row r="119" spans="1:17" x14ac:dyDescent="0.25">
      <c r="A119" t="s">
        <v>17</v>
      </c>
      <c r="B119" t="s">
        <v>18</v>
      </c>
      <c r="C119" t="s">
        <v>107</v>
      </c>
      <c r="D119" t="s">
        <v>108</v>
      </c>
      <c r="E119" t="s">
        <v>66</v>
      </c>
      <c r="F119" t="s">
        <v>67</v>
      </c>
      <c r="G119" t="s">
        <v>158</v>
      </c>
      <c r="H119" s="3">
        <f>DATEVALUE("2025/01/14 00:00:00")</f>
        <v>45671</v>
      </c>
      <c r="I119" s="3">
        <f>DATEVALUE("2025/01/14 00:00:00")</f>
        <v>45671</v>
      </c>
      <c r="J119" s="3">
        <f>DATEVALUE("2025/04/03 00:00:00")</f>
        <v>45750</v>
      </c>
      <c r="K119" s="3">
        <f>DATEVALUE("2025/04/18 00:00:00")</f>
        <v>45765</v>
      </c>
      <c r="L119" s="4">
        <v>3931.8</v>
      </c>
      <c r="M119" s="5">
        <v>19967.650000000001</v>
      </c>
      <c r="N119" t="s">
        <v>24</v>
      </c>
      <c r="O119" s="5">
        <v>47105.279999999999</v>
      </c>
      <c r="P119" s="5">
        <v>0</v>
      </c>
      <c r="Q119" s="5">
        <v>0</v>
      </c>
    </row>
    <row r="120" spans="1:17" x14ac:dyDescent="0.25">
      <c r="A120" t="s">
        <v>17</v>
      </c>
      <c r="B120" t="s">
        <v>18</v>
      </c>
      <c r="C120" t="s">
        <v>107</v>
      </c>
      <c r="D120" t="s">
        <v>108</v>
      </c>
      <c r="E120" t="s">
        <v>66</v>
      </c>
      <c r="F120" t="s">
        <v>67</v>
      </c>
      <c r="G120" t="s">
        <v>149</v>
      </c>
      <c r="H120" s="3">
        <f>DATEVALUE("2025/01/23 00:00:00")</f>
        <v>45680</v>
      </c>
      <c r="I120" s="3">
        <f>DATEVALUE("2025/01/24 00:00:00")</f>
        <v>45681</v>
      </c>
      <c r="J120" s="3">
        <f>DATEVALUE("2025/05/08 00:00:00")</f>
        <v>45785</v>
      </c>
      <c r="K120" s="3">
        <f>DATEVALUE("2025/05/22 00:00:00")</f>
        <v>45799</v>
      </c>
      <c r="L120" s="4">
        <v>3712.9479999999999</v>
      </c>
      <c r="M120" s="5">
        <v>19073.45</v>
      </c>
      <c r="N120" t="s">
        <v>24</v>
      </c>
      <c r="O120" s="5">
        <v>44929.919999999998</v>
      </c>
      <c r="P120" s="5">
        <v>0</v>
      </c>
      <c r="Q120" s="5">
        <v>0</v>
      </c>
    </row>
    <row r="121" spans="1:17" x14ac:dyDescent="0.25">
      <c r="A121" t="s">
        <v>17</v>
      </c>
      <c r="B121" t="s">
        <v>18</v>
      </c>
      <c r="C121" t="s">
        <v>107</v>
      </c>
      <c r="D121" t="s">
        <v>108</v>
      </c>
      <c r="E121" t="s">
        <v>66</v>
      </c>
      <c r="F121" t="s">
        <v>67</v>
      </c>
      <c r="G121" t="s">
        <v>154</v>
      </c>
      <c r="H121" s="3">
        <f>DATEVALUE("2025/02/12 00:00:00")</f>
        <v>45700</v>
      </c>
      <c r="I121" s="3">
        <f>DATEVALUE("2025/02/12 00:00:00")</f>
        <v>45700</v>
      </c>
      <c r="J121" s="3">
        <f>DATEVALUE("2025/06/06 00:00:00")</f>
        <v>45814</v>
      </c>
      <c r="K121" s="3">
        <f>DATEVALUE("2025/06/20 00:00:00")</f>
        <v>45828</v>
      </c>
      <c r="L121" s="4">
        <v>672</v>
      </c>
      <c r="M121" s="5">
        <v>3578.4</v>
      </c>
      <c r="N121" t="s">
        <v>24</v>
      </c>
      <c r="O121" s="5">
        <v>7930.56</v>
      </c>
      <c r="P121" s="5">
        <v>0</v>
      </c>
      <c r="Q121" s="5">
        <v>0</v>
      </c>
    </row>
    <row r="122" spans="1:17" x14ac:dyDescent="0.25">
      <c r="A122" t="s">
        <v>17</v>
      </c>
      <c r="B122" t="s">
        <v>18</v>
      </c>
      <c r="C122" t="s">
        <v>107</v>
      </c>
      <c r="D122" t="s">
        <v>108</v>
      </c>
      <c r="E122" t="s">
        <v>66</v>
      </c>
      <c r="F122" t="s">
        <v>67</v>
      </c>
      <c r="G122" t="s">
        <v>159</v>
      </c>
      <c r="H122" s="3">
        <f>DATEVALUE("2025/03/19 00:00:00")</f>
        <v>45735</v>
      </c>
      <c r="I122" s="3">
        <f>DATEVALUE("2025/03/21 00:00:00")</f>
        <v>45737</v>
      </c>
      <c r="J122" s="3">
        <f>DATEVALUE("2025/06/20 00:00:00")</f>
        <v>45828</v>
      </c>
      <c r="K122" s="3">
        <f>DATEVALUE("2025/07/04 00:00:00")</f>
        <v>45842</v>
      </c>
      <c r="L122" s="4">
        <v>3996.9070000000002</v>
      </c>
      <c r="M122" s="5">
        <v>21001.599999999999</v>
      </c>
      <c r="N122" t="s">
        <v>24</v>
      </c>
      <c r="O122" s="5">
        <v>48063.24</v>
      </c>
      <c r="P122" s="5">
        <v>0</v>
      </c>
      <c r="Q122" s="5">
        <v>0</v>
      </c>
    </row>
    <row r="123" spans="1:17" x14ac:dyDescent="0.25">
      <c r="A123" t="s">
        <v>17</v>
      </c>
      <c r="B123" t="s">
        <v>18</v>
      </c>
      <c r="C123" t="s">
        <v>107</v>
      </c>
      <c r="D123" t="s">
        <v>108</v>
      </c>
      <c r="E123" t="s">
        <v>160</v>
      </c>
      <c r="F123" t="s">
        <v>161</v>
      </c>
      <c r="G123" t="s">
        <v>123</v>
      </c>
      <c r="H123" s="3">
        <f>DATEVALUE("2025/04/01 00:00:00")</f>
        <v>45748</v>
      </c>
      <c r="I123" s="3">
        <f>DATEVALUE("2025/04/01 00:00:00")</f>
        <v>45748</v>
      </c>
      <c r="J123" s="3">
        <f>DATEVALUE("2025/05/12 00:00:00")</f>
        <v>45789</v>
      </c>
      <c r="K123" s="3">
        <f>DATEVALUE("2025/05/26 00:00:00")</f>
        <v>45803</v>
      </c>
      <c r="L123" s="4">
        <v>0.4</v>
      </c>
      <c r="M123" s="5">
        <v>4</v>
      </c>
      <c r="N123" t="s">
        <v>24</v>
      </c>
      <c r="O123" s="5">
        <v>52</v>
      </c>
      <c r="P123" s="5">
        <v>0</v>
      </c>
      <c r="Q123" s="5">
        <v>0</v>
      </c>
    </row>
    <row r="124" spans="1:17" x14ac:dyDescent="0.25">
      <c r="A124" t="s">
        <v>17</v>
      </c>
      <c r="B124" t="s">
        <v>18</v>
      </c>
      <c r="C124" t="s">
        <v>107</v>
      </c>
      <c r="D124" t="s">
        <v>108</v>
      </c>
      <c r="E124" t="s">
        <v>160</v>
      </c>
      <c r="F124" t="s">
        <v>161</v>
      </c>
      <c r="G124" t="s">
        <v>112</v>
      </c>
      <c r="H124" s="3">
        <f>DATEVALUE("2025/05/08 00:00:00")</f>
        <v>45785</v>
      </c>
      <c r="I124" s="3">
        <f>DATEVALUE("2025/05/08 00:00:00")</f>
        <v>45785</v>
      </c>
      <c r="J124" s="3">
        <f>DATEVALUE("2025/07/03 00:00:00")</f>
        <v>45841</v>
      </c>
      <c r="K124" s="3">
        <f>DATEVALUE("2025/07/17 00:00:00")</f>
        <v>45855</v>
      </c>
      <c r="L124" s="4">
        <v>1.5</v>
      </c>
      <c r="M124" s="5">
        <v>112.8</v>
      </c>
      <c r="N124" t="s">
        <v>24</v>
      </c>
      <c r="O124" s="5">
        <v>504</v>
      </c>
      <c r="P124" s="5">
        <v>0</v>
      </c>
      <c r="Q124" s="5">
        <v>0</v>
      </c>
    </row>
    <row r="125" spans="1:17" x14ac:dyDescent="0.25">
      <c r="A125" t="s">
        <v>162</v>
      </c>
      <c r="B125" t="s">
        <v>163</v>
      </c>
      <c r="C125" t="s">
        <v>19</v>
      </c>
      <c r="D125" t="s">
        <v>20</v>
      </c>
      <c r="E125" t="s">
        <v>21</v>
      </c>
      <c r="F125" t="s">
        <v>22</v>
      </c>
      <c r="G125" t="s">
        <v>164</v>
      </c>
      <c r="H125" s="3">
        <f>DATEVALUE("2025/03/18 00:00:00")</f>
        <v>45734</v>
      </c>
      <c r="I125" s="3">
        <f>DATEVALUE("2025/03/19 00:00:00")</f>
        <v>45735</v>
      </c>
      <c r="J125" s="3">
        <f>DATEVALUE("2025/06/20 00:00:00")</f>
        <v>45828</v>
      </c>
      <c r="K125" s="3">
        <f>DATEVALUE("2025/07/04 00:00:00")</f>
        <v>45842</v>
      </c>
      <c r="L125" s="4">
        <v>280</v>
      </c>
      <c r="M125" s="5">
        <v>862.4</v>
      </c>
      <c r="N125" t="s">
        <v>24</v>
      </c>
      <c r="O125" s="5">
        <v>2895.2</v>
      </c>
      <c r="P125" s="5">
        <v>0</v>
      </c>
      <c r="Q125" s="5">
        <v>0</v>
      </c>
    </row>
    <row r="126" spans="1:17" x14ac:dyDescent="0.25">
      <c r="A126" t="s">
        <v>162</v>
      </c>
      <c r="B126" t="s">
        <v>163</v>
      </c>
      <c r="C126" t="s">
        <v>19</v>
      </c>
      <c r="D126" t="s">
        <v>20</v>
      </c>
      <c r="E126" t="s">
        <v>21</v>
      </c>
      <c r="F126" t="s">
        <v>22</v>
      </c>
      <c r="G126" t="s">
        <v>165</v>
      </c>
      <c r="H126" s="3">
        <f>DATEVALUE("2025/04/21 00:00:00")</f>
        <v>45768</v>
      </c>
      <c r="I126" s="3">
        <f>DATEVALUE("2025/05/08 00:00:00")</f>
        <v>45785</v>
      </c>
      <c r="J126" s="3">
        <f>DATEVALUE("2025/07/24 00:00:00")</f>
        <v>45862</v>
      </c>
      <c r="K126" s="3">
        <f>DATEVALUE("2025/08/05 00:00:00")</f>
        <v>45874</v>
      </c>
      <c r="L126" s="4">
        <v>1569.6</v>
      </c>
      <c r="M126" s="5">
        <v>2345.61</v>
      </c>
      <c r="N126" t="s">
        <v>24</v>
      </c>
      <c r="O126" s="5">
        <v>8377.49</v>
      </c>
      <c r="P126" s="5">
        <v>0</v>
      </c>
      <c r="Q126" s="5">
        <v>0</v>
      </c>
    </row>
    <row r="127" spans="1:17" x14ac:dyDescent="0.25">
      <c r="A127" t="s">
        <v>162</v>
      </c>
      <c r="B127" t="s">
        <v>163</v>
      </c>
      <c r="C127" t="s">
        <v>29</v>
      </c>
      <c r="D127" t="s">
        <v>30</v>
      </c>
      <c r="E127" t="s">
        <v>48</v>
      </c>
      <c r="F127" t="s">
        <v>49</v>
      </c>
      <c r="G127" t="s">
        <v>166</v>
      </c>
      <c r="H127" s="3">
        <f>DATEVALUE("2025/05/27 00:00:00")</f>
        <v>45804</v>
      </c>
      <c r="I127" s="3">
        <f>DATEVALUE("2025/05/28 00:00:00")</f>
        <v>45805</v>
      </c>
      <c r="J127" s="3">
        <f>DATEVALUE("2025/08/29 00:00:00")</f>
        <v>45898</v>
      </c>
      <c r="K127" s="3">
        <f>DATEVALUE("2025/09/12 00:00:00")</f>
        <v>45912</v>
      </c>
      <c r="L127" s="4">
        <v>288</v>
      </c>
      <c r="M127" s="5">
        <v>417.6</v>
      </c>
      <c r="N127" t="s">
        <v>34</v>
      </c>
      <c r="O127" s="5">
        <v>944.64</v>
      </c>
      <c r="P127" s="5">
        <v>0</v>
      </c>
      <c r="Q127" s="5">
        <v>0</v>
      </c>
    </row>
    <row r="128" spans="1:17" x14ac:dyDescent="0.25">
      <c r="A128" t="s">
        <v>162</v>
      </c>
      <c r="B128" t="s">
        <v>163</v>
      </c>
      <c r="C128" t="s">
        <v>29</v>
      </c>
      <c r="D128" t="s">
        <v>30</v>
      </c>
      <c r="E128" t="s">
        <v>31</v>
      </c>
      <c r="F128" t="s">
        <v>32</v>
      </c>
      <c r="G128" t="s">
        <v>166</v>
      </c>
      <c r="H128" s="3">
        <f>DATEVALUE("2025/05/27 00:00:00")</f>
        <v>45804</v>
      </c>
      <c r="I128" s="3">
        <f>DATEVALUE("2025/05/28 00:00:00")</f>
        <v>45805</v>
      </c>
      <c r="J128" s="3">
        <f>DATEVALUE("2025/08/29 00:00:00")</f>
        <v>45898</v>
      </c>
      <c r="K128" s="3">
        <f>DATEVALUE("2025/09/12 00:00:00")</f>
        <v>45912</v>
      </c>
      <c r="L128" s="4">
        <v>6988.4</v>
      </c>
      <c r="M128" s="5">
        <v>17790.04</v>
      </c>
      <c r="N128" t="s">
        <v>34</v>
      </c>
      <c r="O128" s="5">
        <v>37700.199999999997</v>
      </c>
      <c r="P128" s="5">
        <v>0</v>
      </c>
      <c r="Q128" s="5">
        <v>0</v>
      </c>
    </row>
    <row r="129" spans="1:17" x14ac:dyDescent="0.25">
      <c r="A129" t="s">
        <v>162</v>
      </c>
      <c r="B129" t="s">
        <v>163</v>
      </c>
      <c r="C129" t="s">
        <v>29</v>
      </c>
      <c r="D129" t="s">
        <v>30</v>
      </c>
      <c r="E129" t="s">
        <v>21</v>
      </c>
      <c r="F129" t="s">
        <v>22</v>
      </c>
      <c r="G129" t="s">
        <v>166</v>
      </c>
      <c r="H129" s="3">
        <f>DATEVALUE("2025/05/27 00:00:00")</f>
        <v>45804</v>
      </c>
      <c r="I129" s="3">
        <f>DATEVALUE("2025/05/28 00:00:00")</f>
        <v>45805</v>
      </c>
      <c r="J129" s="3">
        <f>DATEVALUE("2025/08/29 00:00:00")</f>
        <v>45898</v>
      </c>
      <c r="K129" s="3">
        <f>DATEVALUE("2025/09/12 00:00:00")</f>
        <v>45912</v>
      </c>
      <c r="L129" s="4">
        <v>200</v>
      </c>
      <c r="M129" s="5">
        <v>1643</v>
      </c>
      <c r="N129" t="s">
        <v>34</v>
      </c>
      <c r="O129" s="5">
        <v>3106</v>
      </c>
      <c r="P129" s="5">
        <v>0</v>
      </c>
      <c r="Q129" s="5">
        <v>0</v>
      </c>
    </row>
    <row r="130" spans="1:17" x14ac:dyDescent="0.25">
      <c r="A130" t="s">
        <v>162</v>
      </c>
      <c r="B130" t="s">
        <v>163</v>
      </c>
      <c r="C130" t="s">
        <v>29</v>
      </c>
      <c r="D130" t="s">
        <v>30</v>
      </c>
      <c r="E130" t="s">
        <v>167</v>
      </c>
      <c r="F130" t="s">
        <v>168</v>
      </c>
      <c r="G130" t="s">
        <v>166</v>
      </c>
      <c r="H130" s="3">
        <f>DATEVALUE("2025/05/27 00:00:00")</f>
        <v>45804</v>
      </c>
      <c r="I130" s="3">
        <f>DATEVALUE("2025/05/28 00:00:00")</f>
        <v>45805</v>
      </c>
      <c r="J130" s="3">
        <f>DATEVALUE("2025/08/29 00:00:00")</f>
        <v>45898</v>
      </c>
      <c r="K130" s="3">
        <f>DATEVALUE("2025/09/12 00:00:00")</f>
        <v>45912</v>
      </c>
      <c r="L130" s="4">
        <v>230.4</v>
      </c>
      <c r="M130" s="5">
        <v>368.64</v>
      </c>
      <c r="N130" t="s">
        <v>34</v>
      </c>
      <c r="O130" s="5">
        <v>1741.82</v>
      </c>
      <c r="P130" s="5">
        <v>0</v>
      </c>
      <c r="Q130" s="5">
        <v>0</v>
      </c>
    </row>
    <row r="131" spans="1:17" x14ac:dyDescent="0.25">
      <c r="A131" t="s">
        <v>162</v>
      </c>
      <c r="B131" t="s">
        <v>163</v>
      </c>
      <c r="C131" t="s">
        <v>169</v>
      </c>
      <c r="D131" t="s">
        <v>170</v>
      </c>
      <c r="E131" t="s">
        <v>21</v>
      </c>
      <c r="F131" t="s">
        <v>22</v>
      </c>
      <c r="G131" t="s">
        <v>171</v>
      </c>
      <c r="H131" s="3">
        <f>DATEVALUE("2025/05/13 00:00:00")</f>
        <v>45790</v>
      </c>
      <c r="I131" s="3">
        <f>DATEVALUE("2025/05/15 00:00:00")</f>
        <v>45792</v>
      </c>
      <c r="J131" s="3">
        <f>DATEVALUE("2025/08/25 00:00:00")</f>
        <v>45894</v>
      </c>
      <c r="K131" s="3">
        <f>DATEVALUE("2025/09/08 00:00:00")</f>
        <v>45908</v>
      </c>
      <c r="L131" s="4">
        <v>38</v>
      </c>
      <c r="M131" s="5">
        <v>549.86</v>
      </c>
      <c r="N131" t="s">
        <v>34</v>
      </c>
      <c r="O131" s="5">
        <v>1727.48</v>
      </c>
      <c r="P131" s="5">
        <v>0</v>
      </c>
      <c r="Q131" s="5">
        <v>0</v>
      </c>
    </row>
    <row r="132" spans="1:17" x14ac:dyDescent="0.25">
      <c r="A132" t="s">
        <v>162</v>
      </c>
      <c r="B132" t="s">
        <v>163</v>
      </c>
      <c r="C132" t="s">
        <v>46</v>
      </c>
      <c r="D132" t="s">
        <v>47</v>
      </c>
      <c r="E132" t="s">
        <v>48</v>
      </c>
      <c r="F132" t="s">
        <v>49</v>
      </c>
      <c r="G132" t="s">
        <v>172</v>
      </c>
      <c r="H132" s="3">
        <f>DATEVALUE("2025/01/24 00:00:00")</f>
        <v>45681</v>
      </c>
      <c r="I132" s="3">
        <f>DATEVALUE("2025/01/24 00:00:00")</f>
        <v>45681</v>
      </c>
      <c r="J132" s="3">
        <f>DATEVALUE("2025/04/11 00:00:00")</f>
        <v>45758</v>
      </c>
      <c r="K132" s="3">
        <f>DATEVALUE("2025/05/09 00:00:00")</f>
        <v>45786</v>
      </c>
      <c r="L132" s="4">
        <v>120</v>
      </c>
      <c r="M132" s="5">
        <v>306</v>
      </c>
      <c r="N132" t="s">
        <v>34</v>
      </c>
      <c r="O132" s="5">
        <v>708</v>
      </c>
      <c r="P132" s="5">
        <v>0</v>
      </c>
      <c r="Q132" s="5">
        <v>0</v>
      </c>
    </row>
    <row r="133" spans="1:17" x14ac:dyDescent="0.25">
      <c r="A133" t="s">
        <v>162</v>
      </c>
      <c r="B133" t="s">
        <v>163</v>
      </c>
      <c r="C133" t="s">
        <v>46</v>
      </c>
      <c r="D133" t="s">
        <v>47</v>
      </c>
      <c r="E133" t="s">
        <v>48</v>
      </c>
      <c r="F133" t="s">
        <v>49</v>
      </c>
      <c r="G133" t="s">
        <v>173</v>
      </c>
      <c r="H133" s="3">
        <f>DATEVALUE("2025/02/21 00:00:00")</f>
        <v>45709</v>
      </c>
      <c r="I133" s="3">
        <f>DATEVALUE("2025/02/21 00:00:00")</f>
        <v>45709</v>
      </c>
      <c r="J133" s="3">
        <f>DATEVALUE("2025/04/25 00:00:00")</f>
        <v>45772</v>
      </c>
      <c r="K133" s="3">
        <f>DATEVALUE("2025/05/09 00:00:00")</f>
        <v>45786</v>
      </c>
      <c r="L133" s="4">
        <v>950</v>
      </c>
      <c r="M133" s="5">
        <v>4772</v>
      </c>
      <c r="N133" t="s">
        <v>34</v>
      </c>
      <c r="O133" s="5">
        <v>8680</v>
      </c>
      <c r="P133" s="5">
        <v>0</v>
      </c>
      <c r="Q133" s="5">
        <v>0</v>
      </c>
    </row>
    <row r="134" spans="1:17" x14ac:dyDescent="0.25">
      <c r="A134" t="s">
        <v>162</v>
      </c>
      <c r="B134" t="s">
        <v>163</v>
      </c>
      <c r="C134" t="s">
        <v>46</v>
      </c>
      <c r="D134" t="s">
        <v>47</v>
      </c>
      <c r="E134" t="s">
        <v>48</v>
      </c>
      <c r="F134" t="s">
        <v>49</v>
      </c>
      <c r="G134" t="s">
        <v>174</v>
      </c>
      <c r="H134" s="3">
        <f>DATEVALUE("2025/02/25 00:00:00")</f>
        <v>45713</v>
      </c>
      <c r="I134" s="3">
        <f>DATEVALUE("2025/02/26 00:00:00")</f>
        <v>45714</v>
      </c>
      <c r="J134" s="3">
        <f>DATEVALUE("2025/05/09 00:00:00")</f>
        <v>45786</v>
      </c>
      <c r="K134" s="3">
        <f>DATEVALUE("2025/05/29 00:00:00")</f>
        <v>45806</v>
      </c>
      <c r="L134" s="4">
        <v>2584.4</v>
      </c>
      <c r="M134" s="5">
        <v>11279.21</v>
      </c>
      <c r="N134" t="s">
        <v>34</v>
      </c>
      <c r="O134" s="5">
        <v>23779.72</v>
      </c>
      <c r="P134" s="5">
        <v>0</v>
      </c>
      <c r="Q134" s="5">
        <v>0</v>
      </c>
    </row>
    <row r="135" spans="1:17" x14ac:dyDescent="0.25">
      <c r="A135" t="s">
        <v>162</v>
      </c>
      <c r="B135" t="s">
        <v>163</v>
      </c>
      <c r="C135" t="s">
        <v>46</v>
      </c>
      <c r="D135" t="s">
        <v>47</v>
      </c>
      <c r="E135" t="s">
        <v>48</v>
      </c>
      <c r="F135" t="s">
        <v>49</v>
      </c>
      <c r="G135" t="s">
        <v>175</v>
      </c>
      <c r="H135" s="3">
        <f>DATEVALUE("2025/03/03 00:00:00")</f>
        <v>45719</v>
      </c>
      <c r="I135" s="3">
        <f>DATEVALUE("2025/03/03 00:00:00")</f>
        <v>45719</v>
      </c>
      <c r="J135" s="3">
        <f>DATEVALUE("2025/06/27 00:00:00")</f>
        <v>45835</v>
      </c>
      <c r="K135" s="3">
        <f>DATEVALUE("2025/07/25 00:00:00")</f>
        <v>45863</v>
      </c>
      <c r="L135" s="4">
        <v>500</v>
      </c>
      <c r="M135" s="5">
        <v>990</v>
      </c>
      <c r="N135" t="s">
        <v>34</v>
      </c>
      <c r="O135" s="5">
        <v>1850</v>
      </c>
      <c r="P135" s="5">
        <v>0</v>
      </c>
      <c r="Q135" s="5">
        <v>0</v>
      </c>
    </row>
    <row r="136" spans="1:17" x14ac:dyDescent="0.25">
      <c r="A136" t="s">
        <v>162</v>
      </c>
      <c r="B136" t="s">
        <v>163</v>
      </c>
      <c r="C136" t="s">
        <v>46</v>
      </c>
      <c r="D136" t="s">
        <v>47</v>
      </c>
      <c r="E136" t="s">
        <v>48</v>
      </c>
      <c r="F136" t="s">
        <v>49</v>
      </c>
      <c r="G136" t="s">
        <v>176</v>
      </c>
      <c r="H136" s="3">
        <f>DATEVALUE("2025/03/04 00:00:00")</f>
        <v>45720</v>
      </c>
      <c r="I136" s="3">
        <f>DATEVALUE("2025/03/04 00:00:00")</f>
        <v>45720</v>
      </c>
      <c r="J136" s="3">
        <f>DATEVALUE("2025/06/13 00:00:00")</f>
        <v>45821</v>
      </c>
      <c r="K136" s="3">
        <f>DATEVALUE("2025/06/20 00:00:00")</f>
        <v>45828</v>
      </c>
      <c r="L136" s="4">
        <v>5950</v>
      </c>
      <c r="M136" s="5">
        <v>15336</v>
      </c>
      <c r="N136" t="s">
        <v>34</v>
      </c>
      <c r="O136" s="5">
        <v>28885</v>
      </c>
      <c r="P136" s="5">
        <v>0</v>
      </c>
      <c r="Q136" s="5">
        <v>0</v>
      </c>
    </row>
    <row r="137" spans="1:17" x14ac:dyDescent="0.25">
      <c r="A137" t="s">
        <v>162</v>
      </c>
      <c r="B137" t="s">
        <v>163</v>
      </c>
      <c r="C137" t="s">
        <v>46</v>
      </c>
      <c r="D137" t="s">
        <v>47</v>
      </c>
      <c r="E137" t="s">
        <v>48</v>
      </c>
      <c r="F137" t="s">
        <v>49</v>
      </c>
      <c r="G137" t="s">
        <v>177</v>
      </c>
      <c r="H137" s="3">
        <f>DATEVALUE("2025/03/21 00:00:00")</f>
        <v>45737</v>
      </c>
      <c r="I137" s="3">
        <f>DATEVALUE("2025/03/21 00:00:00")</f>
        <v>45737</v>
      </c>
      <c r="J137" s="3">
        <f>DATEVALUE("2025/06/10 00:00:00")</f>
        <v>45818</v>
      </c>
      <c r="K137" s="3">
        <f>DATEVALUE("2025/06/24 00:00:00")</f>
        <v>45832</v>
      </c>
      <c r="L137" s="4">
        <v>1690</v>
      </c>
      <c r="M137" s="5">
        <v>4452.3999999999996</v>
      </c>
      <c r="N137" t="s">
        <v>34</v>
      </c>
      <c r="O137" s="5">
        <v>8377</v>
      </c>
      <c r="P137" s="5">
        <v>0</v>
      </c>
      <c r="Q137" s="5">
        <v>0</v>
      </c>
    </row>
    <row r="138" spans="1:17" x14ac:dyDescent="0.25">
      <c r="A138" t="s">
        <v>162</v>
      </c>
      <c r="B138" t="s">
        <v>163</v>
      </c>
      <c r="C138" t="s">
        <v>46</v>
      </c>
      <c r="D138" t="s">
        <v>47</v>
      </c>
      <c r="E138" t="s">
        <v>48</v>
      </c>
      <c r="F138" t="s">
        <v>49</v>
      </c>
      <c r="G138" t="s">
        <v>178</v>
      </c>
      <c r="H138" s="3">
        <f>DATEVALUE("2025/04/10 00:00:00")</f>
        <v>45757</v>
      </c>
      <c r="I138" s="3">
        <f>DATEVALUE("2025/04/11 00:00:00")</f>
        <v>45758</v>
      </c>
      <c r="J138" s="3">
        <f>DATEVALUE("2025/06/27 00:00:00")</f>
        <v>45835</v>
      </c>
      <c r="K138" s="3">
        <f>DATEVALUE("2025/07/11 00:00:00")</f>
        <v>45849</v>
      </c>
      <c r="L138" s="4">
        <v>5140</v>
      </c>
      <c r="M138" s="5">
        <v>12985.6</v>
      </c>
      <c r="N138" t="s">
        <v>34</v>
      </c>
      <c r="O138" s="5">
        <v>24935</v>
      </c>
      <c r="P138" s="5">
        <v>0</v>
      </c>
      <c r="Q138" s="5">
        <v>0</v>
      </c>
    </row>
    <row r="139" spans="1:17" x14ac:dyDescent="0.25">
      <c r="A139" t="s">
        <v>162</v>
      </c>
      <c r="B139" t="s">
        <v>163</v>
      </c>
      <c r="C139" t="s">
        <v>46</v>
      </c>
      <c r="D139" t="s">
        <v>47</v>
      </c>
      <c r="E139" t="s">
        <v>48</v>
      </c>
      <c r="F139" t="s">
        <v>49</v>
      </c>
      <c r="G139" t="s">
        <v>179</v>
      </c>
      <c r="H139" s="3">
        <f>DATEVALUE("2025/05/26 00:00:00")</f>
        <v>45803</v>
      </c>
      <c r="I139" s="3">
        <f>DATEVALUE("2025/05/26 00:00:00")</f>
        <v>45803</v>
      </c>
      <c r="J139" s="3">
        <f>DATEVALUE("2025/09/19 00:00:00")</f>
        <v>45919</v>
      </c>
      <c r="K139" s="3">
        <f>DATEVALUE("2025/10/17 00:00:00")</f>
        <v>45947</v>
      </c>
      <c r="L139" s="4">
        <v>9380</v>
      </c>
      <c r="M139" s="5">
        <v>28992.1</v>
      </c>
      <c r="N139" t="s">
        <v>34</v>
      </c>
      <c r="O139" s="5">
        <v>56306.1</v>
      </c>
      <c r="P139" s="5">
        <v>0</v>
      </c>
      <c r="Q139" s="5">
        <v>0</v>
      </c>
    </row>
    <row r="140" spans="1:17" x14ac:dyDescent="0.25">
      <c r="A140" t="s">
        <v>162</v>
      </c>
      <c r="B140" t="s">
        <v>163</v>
      </c>
      <c r="C140" t="s">
        <v>46</v>
      </c>
      <c r="D140" t="s">
        <v>47</v>
      </c>
      <c r="E140" t="s">
        <v>48</v>
      </c>
      <c r="F140" t="s">
        <v>49</v>
      </c>
      <c r="G140" t="s">
        <v>180</v>
      </c>
      <c r="H140" s="3">
        <f>DATEVALUE("2025/06/19 00:00:00")</f>
        <v>45827</v>
      </c>
      <c r="I140" s="3">
        <f>DATEVALUE("2025/06/19 00:00:00")</f>
        <v>45827</v>
      </c>
      <c r="J140" s="3">
        <f>DATEVALUE("2025/09/19 00:00:00")</f>
        <v>45919</v>
      </c>
      <c r="K140" s="3">
        <f>DATEVALUE("2025/10/17 00:00:00")</f>
        <v>45947</v>
      </c>
      <c r="L140" s="4">
        <v>1720</v>
      </c>
      <c r="M140" s="5">
        <v>4908.3999999999996</v>
      </c>
      <c r="N140" t="s">
        <v>34</v>
      </c>
      <c r="O140" s="5">
        <v>8484.9</v>
      </c>
      <c r="P140" s="5">
        <v>0</v>
      </c>
      <c r="Q140" s="5">
        <v>0</v>
      </c>
    </row>
    <row r="141" spans="1:17" x14ac:dyDescent="0.25">
      <c r="A141" t="s">
        <v>162</v>
      </c>
      <c r="B141" t="s">
        <v>163</v>
      </c>
      <c r="C141" t="s">
        <v>46</v>
      </c>
      <c r="D141" t="s">
        <v>47</v>
      </c>
      <c r="E141" t="s">
        <v>48</v>
      </c>
      <c r="F141" t="s">
        <v>49</v>
      </c>
      <c r="G141" t="s">
        <v>181</v>
      </c>
      <c r="H141" s="3">
        <f>DATEVALUE("2025/07/08 00:00:00")</f>
        <v>45846</v>
      </c>
      <c r="I141" s="3">
        <f>DATEVALUE("2025/07/08 00:00:00")</f>
        <v>45846</v>
      </c>
      <c r="J141" s="3">
        <f>DATEVALUE("2025/09/11 00:00:00")</f>
        <v>45911</v>
      </c>
      <c r="K141" s="3">
        <f>DATEVALUE("2025/09/25 00:00:00")</f>
        <v>45925</v>
      </c>
      <c r="L141" s="4">
        <v>1000</v>
      </c>
      <c r="M141" s="5">
        <v>1550</v>
      </c>
      <c r="N141" t="s">
        <v>34</v>
      </c>
      <c r="O141" s="5">
        <v>2990</v>
      </c>
      <c r="P141" s="5">
        <v>0</v>
      </c>
      <c r="Q141" s="5">
        <v>0</v>
      </c>
    </row>
    <row r="142" spans="1:17" x14ac:dyDescent="0.25">
      <c r="A142" t="s">
        <v>162</v>
      </c>
      <c r="B142" t="s">
        <v>163</v>
      </c>
      <c r="C142" t="s">
        <v>46</v>
      </c>
      <c r="D142" t="s">
        <v>47</v>
      </c>
      <c r="E142" t="s">
        <v>31</v>
      </c>
      <c r="F142" t="s">
        <v>32</v>
      </c>
      <c r="G142" t="s">
        <v>182</v>
      </c>
      <c r="H142" s="3">
        <f>DATEVALUE("2025/02/03 00:00:00")</f>
        <v>45691</v>
      </c>
      <c r="I142" s="3">
        <f>DATEVALUE("2025/02/04 00:00:00")</f>
        <v>45692</v>
      </c>
      <c r="J142" s="3">
        <f>DATEVALUE("2025/04/18 00:00:00")</f>
        <v>45765</v>
      </c>
      <c r="K142" s="3">
        <f>DATEVALUE("2025/05/16 00:00:00")</f>
        <v>45793</v>
      </c>
      <c r="L142" s="4">
        <v>366</v>
      </c>
      <c r="M142" s="5">
        <v>900.36</v>
      </c>
      <c r="N142" t="s">
        <v>34</v>
      </c>
      <c r="O142" s="5">
        <v>2415.6</v>
      </c>
      <c r="P142" s="5">
        <v>0</v>
      </c>
      <c r="Q142" s="5">
        <v>0</v>
      </c>
    </row>
    <row r="143" spans="1:17" x14ac:dyDescent="0.25">
      <c r="A143" t="s">
        <v>162</v>
      </c>
      <c r="B143" t="s">
        <v>163</v>
      </c>
      <c r="C143" t="s">
        <v>46</v>
      </c>
      <c r="D143" t="s">
        <v>47</v>
      </c>
      <c r="E143" t="s">
        <v>31</v>
      </c>
      <c r="F143" t="s">
        <v>32</v>
      </c>
      <c r="G143" t="s">
        <v>183</v>
      </c>
      <c r="H143" s="3">
        <f>DATEVALUE("2025/02/13 00:00:00")</f>
        <v>45701</v>
      </c>
      <c r="I143" s="3">
        <f>DATEVALUE("2025/02/14 00:00:00")</f>
        <v>45702</v>
      </c>
      <c r="J143" s="3">
        <f>DATEVALUE("2025/05/08 00:00:00")</f>
        <v>45785</v>
      </c>
      <c r="K143" s="3">
        <f>DATEVALUE("2025/05/22 00:00:00")</f>
        <v>45799</v>
      </c>
      <c r="L143" s="4">
        <v>870</v>
      </c>
      <c r="M143" s="5">
        <v>1064.9000000000001</v>
      </c>
      <c r="N143" t="s">
        <v>34</v>
      </c>
      <c r="O143" s="5">
        <v>2529</v>
      </c>
      <c r="P143" s="5">
        <v>0</v>
      </c>
      <c r="Q143" s="5">
        <v>0</v>
      </c>
    </row>
    <row r="144" spans="1:17" x14ac:dyDescent="0.25">
      <c r="A144" t="s">
        <v>162</v>
      </c>
      <c r="B144" t="s">
        <v>163</v>
      </c>
      <c r="C144" t="s">
        <v>46</v>
      </c>
      <c r="D144" t="s">
        <v>47</v>
      </c>
      <c r="E144" t="s">
        <v>31</v>
      </c>
      <c r="F144" t="s">
        <v>32</v>
      </c>
      <c r="G144" t="s">
        <v>184</v>
      </c>
      <c r="H144" s="3">
        <f>DATEVALUE("2025/03/06 00:00:00")</f>
        <v>45722</v>
      </c>
      <c r="I144" s="3">
        <f>DATEVALUE("2025/03/06 00:00:00")</f>
        <v>45722</v>
      </c>
      <c r="J144" s="3">
        <f>DATEVALUE("2025/05/16 00:00:00")</f>
        <v>45793</v>
      </c>
      <c r="K144" s="3">
        <f>DATEVALUE("2025/05/29 00:00:00")</f>
        <v>45806</v>
      </c>
      <c r="L144" s="4">
        <v>516</v>
      </c>
      <c r="M144" s="5">
        <v>949.44</v>
      </c>
      <c r="N144" t="s">
        <v>34</v>
      </c>
      <c r="O144" s="5">
        <v>2012.4</v>
      </c>
      <c r="P144" s="5">
        <v>0</v>
      </c>
      <c r="Q144" s="5">
        <v>0</v>
      </c>
    </row>
    <row r="145" spans="1:17" x14ac:dyDescent="0.25">
      <c r="A145" t="s">
        <v>162</v>
      </c>
      <c r="B145" t="s">
        <v>163</v>
      </c>
      <c r="C145" t="s">
        <v>46</v>
      </c>
      <c r="D145" t="s">
        <v>47</v>
      </c>
      <c r="E145" t="s">
        <v>31</v>
      </c>
      <c r="F145" t="s">
        <v>32</v>
      </c>
      <c r="G145" t="s">
        <v>185</v>
      </c>
      <c r="H145" s="3">
        <f>DATEVALUE("2025/04/17 00:00:00")</f>
        <v>45764</v>
      </c>
      <c r="I145" s="3">
        <f>DATEVALUE("2025/04/24 00:00:00")</f>
        <v>45771</v>
      </c>
      <c r="J145" s="3">
        <f>DATEVALUE("2025/08/04 00:00:00")</f>
        <v>45873</v>
      </c>
      <c r="K145" s="3">
        <f>DATEVALUE("2025/08/08 00:00:00")</f>
        <v>45877</v>
      </c>
      <c r="L145" s="4">
        <v>7234.5</v>
      </c>
      <c r="M145" s="5">
        <v>29020.03</v>
      </c>
      <c r="N145" t="s">
        <v>34</v>
      </c>
      <c r="O145" s="5">
        <v>48817.94</v>
      </c>
      <c r="P145" s="5">
        <v>0</v>
      </c>
      <c r="Q145" s="5">
        <v>0</v>
      </c>
    </row>
    <row r="146" spans="1:17" x14ac:dyDescent="0.25">
      <c r="A146" t="s">
        <v>162</v>
      </c>
      <c r="B146" t="s">
        <v>163</v>
      </c>
      <c r="C146" t="s">
        <v>46</v>
      </c>
      <c r="D146" t="s">
        <v>47</v>
      </c>
      <c r="E146" t="s">
        <v>31</v>
      </c>
      <c r="F146" t="s">
        <v>32</v>
      </c>
      <c r="G146" t="s">
        <v>186</v>
      </c>
      <c r="H146" s="3">
        <f>DATEVALUE("2025/04/24 00:00:00")</f>
        <v>45771</v>
      </c>
      <c r="I146" s="3">
        <f>DATEVALUE("2025/04/25 00:00:00")</f>
        <v>45772</v>
      </c>
      <c r="J146" s="3">
        <f>DATEVALUE("2025/07/11 00:00:00")</f>
        <v>45849</v>
      </c>
      <c r="K146" s="3">
        <f>DATEVALUE("2025/07/25 00:00:00")</f>
        <v>45863</v>
      </c>
      <c r="L146" s="4">
        <v>1268</v>
      </c>
      <c r="M146" s="5">
        <v>1882.94</v>
      </c>
      <c r="N146" t="s">
        <v>34</v>
      </c>
      <c r="O146" s="5">
        <v>4354.1000000000004</v>
      </c>
      <c r="P146" s="5">
        <v>0</v>
      </c>
      <c r="Q146" s="5">
        <v>0</v>
      </c>
    </row>
    <row r="147" spans="1:17" x14ac:dyDescent="0.25">
      <c r="A147" t="s">
        <v>162</v>
      </c>
      <c r="B147" t="s">
        <v>163</v>
      </c>
      <c r="C147" t="s">
        <v>46</v>
      </c>
      <c r="D147" t="s">
        <v>47</v>
      </c>
      <c r="E147" t="s">
        <v>31</v>
      </c>
      <c r="F147" t="s">
        <v>32</v>
      </c>
      <c r="G147" t="s">
        <v>187</v>
      </c>
      <c r="H147" s="3">
        <f>DATEVALUE("2025/05/28 00:00:00")</f>
        <v>45805</v>
      </c>
      <c r="I147" s="3">
        <f>DATEVALUE("2025/05/29 00:00:00")</f>
        <v>45806</v>
      </c>
      <c r="J147" s="3">
        <f>DATEVALUE("2025/08/29 00:00:00")</f>
        <v>45898</v>
      </c>
      <c r="K147" s="3">
        <f>DATEVALUE("2025/09/26 00:00:00")</f>
        <v>45926</v>
      </c>
      <c r="L147" s="4">
        <v>3354</v>
      </c>
      <c r="M147" s="5">
        <v>6171.36</v>
      </c>
      <c r="N147" t="s">
        <v>34</v>
      </c>
      <c r="O147" s="5">
        <v>12577.52</v>
      </c>
      <c r="P147" s="5">
        <v>0</v>
      </c>
      <c r="Q147" s="5">
        <v>0</v>
      </c>
    </row>
    <row r="148" spans="1:17" x14ac:dyDescent="0.25">
      <c r="A148" t="s">
        <v>162</v>
      </c>
      <c r="B148" t="s">
        <v>163</v>
      </c>
      <c r="C148" t="s">
        <v>46</v>
      </c>
      <c r="D148" t="s">
        <v>47</v>
      </c>
      <c r="E148" t="s">
        <v>31</v>
      </c>
      <c r="F148" t="s">
        <v>32</v>
      </c>
      <c r="G148" t="s">
        <v>188</v>
      </c>
      <c r="H148" s="3">
        <f>DATEVALUE("2025/06/05 00:00:00")</f>
        <v>45813</v>
      </c>
      <c r="I148" s="3">
        <f>DATEVALUE("2025/06/06 00:00:00")</f>
        <v>45814</v>
      </c>
      <c r="J148" s="3">
        <f>DATEVALUE("2025/09/09 00:00:00")</f>
        <v>45909</v>
      </c>
      <c r="K148" s="3">
        <f>DATEVALUE("2025/09/23 00:00:00")</f>
        <v>45923</v>
      </c>
      <c r="L148" s="4">
        <v>1696</v>
      </c>
      <c r="M148" s="5">
        <v>5808.58</v>
      </c>
      <c r="N148" t="s">
        <v>34</v>
      </c>
      <c r="O148" s="5">
        <v>10850.96</v>
      </c>
      <c r="P148" s="5">
        <v>0</v>
      </c>
      <c r="Q148" s="5">
        <v>0</v>
      </c>
    </row>
    <row r="149" spans="1:17" x14ac:dyDescent="0.25">
      <c r="A149" t="s">
        <v>162</v>
      </c>
      <c r="B149" t="s">
        <v>163</v>
      </c>
      <c r="C149" t="s">
        <v>46</v>
      </c>
      <c r="D149" t="s">
        <v>47</v>
      </c>
      <c r="E149" t="s">
        <v>31</v>
      </c>
      <c r="F149" t="s">
        <v>32</v>
      </c>
      <c r="G149" t="s">
        <v>189</v>
      </c>
      <c r="H149" s="3">
        <f>DATEVALUE("2025/06/20 00:00:00")</f>
        <v>45828</v>
      </c>
      <c r="I149" s="3">
        <f>DATEVALUE("2025/06/20 00:00:00")</f>
        <v>45828</v>
      </c>
      <c r="J149" s="3">
        <f>DATEVALUE("2025/11/14 00:00:00")</f>
        <v>45975</v>
      </c>
      <c r="K149" s="3">
        <f>DATEVALUE("2025/12/12 00:00:00")</f>
        <v>46003</v>
      </c>
      <c r="L149" s="4">
        <v>732</v>
      </c>
      <c r="M149" s="5">
        <v>1046.76</v>
      </c>
      <c r="N149" t="s">
        <v>34</v>
      </c>
      <c r="O149" s="5">
        <v>2320.44</v>
      </c>
      <c r="P149" s="5">
        <v>0</v>
      </c>
      <c r="Q149" s="5">
        <v>0</v>
      </c>
    </row>
    <row r="150" spans="1:17" x14ac:dyDescent="0.25">
      <c r="A150" t="s">
        <v>162</v>
      </c>
      <c r="B150" t="s">
        <v>163</v>
      </c>
      <c r="C150" t="s">
        <v>46</v>
      </c>
      <c r="D150" t="s">
        <v>47</v>
      </c>
      <c r="E150" t="s">
        <v>31</v>
      </c>
      <c r="F150" t="s">
        <v>32</v>
      </c>
      <c r="G150" t="s">
        <v>190</v>
      </c>
      <c r="H150" s="3">
        <f>DATEVALUE("2025/07/04 00:00:00")</f>
        <v>45842</v>
      </c>
      <c r="I150" s="3">
        <f>DATEVALUE("2025/07/04 00:00:00")</f>
        <v>45842</v>
      </c>
      <c r="J150" s="3">
        <f>DATEVALUE("2025/10/07 00:00:00")</f>
        <v>45937</v>
      </c>
      <c r="K150" s="3">
        <f>DATEVALUE("2025/10/17 00:00:00")</f>
        <v>45947</v>
      </c>
      <c r="L150" s="4">
        <v>578</v>
      </c>
      <c r="M150" s="5">
        <v>937.16</v>
      </c>
      <c r="N150" t="s">
        <v>34</v>
      </c>
      <c r="O150" s="5">
        <v>1998.02</v>
      </c>
      <c r="P150" s="5">
        <v>0</v>
      </c>
      <c r="Q150" s="5">
        <v>0</v>
      </c>
    </row>
    <row r="151" spans="1:17" x14ac:dyDescent="0.25">
      <c r="A151" t="s">
        <v>162</v>
      </c>
      <c r="B151" t="s">
        <v>163</v>
      </c>
      <c r="C151" t="s">
        <v>46</v>
      </c>
      <c r="D151" t="s">
        <v>47</v>
      </c>
      <c r="E151" t="s">
        <v>56</v>
      </c>
      <c r="F151" t="s">
        <v>57</v>
      </c>
      <c r="G151" t="s">
        <v>184</v>
      </c>
      <c r="H151" s="3">
        <f>DATEVALUE("2025/03/06 00:00:00")</f>
        <v>45722</v>
      </c>
      <c r="I151" s="3">
        <f>DATEVALUE("2025/03/06 00:00:00")</f>
        <v>45722</v>
      </c>
      <c r="J151" s="3">
        <f>DATEVALUE("2025/05/16 00:00:00")</f>
        <v>45793</v>
      </c>
      <c r="K151" s="3">
        <f>DATEVALUE("2025/05/29 00:00:00")</f>
        <v>45806</v>
      </c>
      <c r="L151" s="4">
        <v>13800</v>
      </c>
      <c r="M151" s="5">
        <v>23574.84</v>
      </c>
      <c r="N151" t="s">
        <v>34</v>
      </c>
      <c r="O151" s="5">
        <v>45698.7</v>
      </c>
      <c r="P151" s="5">
        <v>0</v>
      </c>
      <c r="Q151" s="5">
        <v>0</v>
      </c>
    </row>
    <row r="152" spans="1:17" x14ac:dyDescent="0.25">
      <c r="A152" t="s">
        <v>162</v>
      </c>
      <c r="B152" t="s">
        <v>163</v>
      </c>
      <c r="C152" t="s">
        <v>46</v>
      </c>
      <c r="D152" t="s">
        <v>47</v>
      </c>
      <c r="E152" t="s">
        <v>56</v>
      </c>
      <c r="F152" t="s">
        <v>57</v>
      </c>
      <c r="G152" t="s">
        <v>186</v>
      </c>
      <c r="H152" s="3">
        <f>DATEVALUE("2025/04/24 00:00:00")</f>
        <v>45771</v>
      </c>
      <c r="I152" s="3">
        <f>DATEVALUE("2025/04/25 00:00:00")</f>
        <v>45772</v>
      </c>
      <c r="J152" s="3">
        <f>DATEVALUE("2025/07/11 00:00:00")</f>
        <v>45849</v>
      </c>
      <c r="K152" s="3">
        <f>DATEVALUE("2025/07/25 00:00:00")</f>
        <v>45863</v>
      </c>
      <c r="L152" s="4">
        <v>4188</v>
      </c>
      <c r="M152" s="5">
        <v>6621.96</v>
      </c>
      <c r="N152" t="s">
        <v>34</v>
      </c>
      <c r="O152" s="5">
        <v>14788.08</v>
      </c>
      <c r="P152" s="5">
        <v>0</v>
      </c>
      <c r="Q152" s="5">
        <v>0</v>
      </c>
    </row>
    <row r="153" spans="1:17" x14ac:dyDescent="0.25">
      <c r="A153" t="s">
        <v>162</v>
      </c>
      <c r="B153" t="s">
        <v>163</v>
      </c>
      <c r="C153" t="s">
        <v>46</v>
      </c>
      <c r="D153" t="s">
        <v>47</v>
      </c>
      <c r="E153" t="s">
        <v>56</v>
      </c>
      <c r="F153" t="s">
        <v>57</v>
      </c>
      <c r="G153" t="s">
        <v>191</v>
      </c>
      <c r="H153" s="3">
        <f>DATEVALUE("2025/05/16 00:00:00")</f>
        <v>45793</v>
      </c>
      <c r="I153" s="3">
        <f>DATEVALUE("2025/05/16 00:00:00")</f>
        <v>45793</v>
      </c>
      <c r="J153" s="3">
        <f>DATEVALUE("2025/08/08 00:00:00")</f>
        <v>45877</v>
      </c>
      <c r="K153" s="3">
        <f>DATEVALUE("2025/08/15 00:00:00")</f>
        <v>45884</v>
      </c>
      <c r="L153" s="4">
        <v>2538</v>
      </c>
      <c r="M153" s="5">
        <v>4599.84</v>
      </c>
      <c r="N153" t="s">
        <v>34</v>
      </c>
      <c r="O153" s="5">
        <v>9199.08</v>
      </c>
      <c r="P153" s="5">
        <v>0</v>
      </c>
      <c r="Q153" s="5">
        <v>0</v>
      </c>
    </row>
    <row r="154" spans="1:17" x14ac:dyDescent="0.25">
      <c r="A154" t="s">
        <v>162</v>
      </c>
      <c r="B154" t="s">
        <v>163</v>
      </c>
      <c r="C154" t="s">
        <v>46</v>
      </c>
      <c r="D154" t="s">
        <v>47</v>
      </c>
      <c r="E154" t="s">
        <v>56</v>
      </c>
      <c r="F154" t="s">
        <v>57</v>
      </c>
      <c r="G154" t="s">
        <v>187</v>
      </c>
      <c r="H154" s="3">
        <f>DATEVALUE("2025/05/28 00:00:00")</f>
        <v>45805</v>
      </c>
      <c r="I154" s="3">
        <f>DATEVALUE("2025/05/29 00:00:00")</f>
        <v>45806</v>
      </c>
      <c r="J154" s="3">
        <f>DATEVALUE("2025/08/29 00:00:00")</f>
        <v>45898</v>
      </c>
      <c r="K154" s="3">
        <f>DATEVALUE("2025/09/26 00:00:00")</f>
        <v>45926</v>
      </c>
      <c r="L154" s="4">
        <v>4584</v>
      </c>
      <c r="M154" s="5">
        <v>6376.38</v>
      </c>
      <c r="N154" t="s">
        <v>34</v>
      </c>
      <c r="O154" s="5">
        <v>12219.72</v>
      </c>
      <c r="P154" s="5">
        <v>0</v>
      </c>
      <c r="Q154" s="5">
        <v>0</v>
      </c>
    </row>
    <row r="155" spans="1:17" x14ac:dyDescent="0.25">
      <c r="A155" t="s">
        <v>162</v>
      </c>
      <c r="B155" t="s">
        <v>163</v>
      </c>
      <c r="C155" t="s">
        <v>46</v>
      </c>
      <c r="D155" t="s">
        <v>47</v>
      </c>
      <c r="E155" t="s">
        <v>56</v>
      </c>
      <c r="F155" t="s">
        <v>57</v>
      </c>
      <c r="G155" t="s">
        <v>189</v>
      </c>
      <c r="H155" s="3">
        <f>DATEVALUE("2025/06/20 00:00:00")</f>
        <v>45828</v>
      </c>
      <c r="I155" s="3">
        <f>DATEVALUE("2025/06/20 00:00:00")</f>
        <v>45828</v>
      </c>
      <c r="J155" s="3">
        <f>DATEVALUE("2025/11/14 00:00:00")</f>
        <v>45975</v>
      </c>
      <c r="K155" s="3">
        <f>DATEVALUE("2025/12/12 00:00:00")</f>
        <v>46003</v>
      </c>
      <c r="L155" s="4">
        <v>2106</v>
      </c>
      <c r="M155" s="5">
        <v>5598.06</v>
      </c>
      <c r="N155" t="s">
        <v>34</v>
      </c>
      <c r="O155" s="5">
        <v>9567.5400000000009</v>
      </c>
      <c r="P155" s="5">
        <v>0</v>
      </c>
      <c r="Q155" s="5">
        <v>0</v>
      </c>
    </row>
    <row r="156" spans="1:17" x14ac:dyDescent="0.25">
      <c r="A156" t="s">
        <v>162</v>
      </c>
      <c r="B156" t="s">
        <v>163</v>
      </c>
      <c r="C156" t="s">
        <v>46</v>
      </c>
      <c r="D156" t="s">
        <v>47</v>
      </c>
      <c r="E156" t="s">
        <v>56</v>
      </c>
      <c r="F156" t="s">
        <v>57</v>
      </c>
      <c r="G156" t="s">
        <v>192</v>
      </c>
      <c r="H156" s="3">
        <f>DATEVALUE("2025/07/04 00:00:00")</f>
        <v>45842</v>
      </c>
      <c r="I156" s="3">
        <f>DATEVALUE("2025/07/04 00:00:00")</f>
        <v>45842</v>
      </c>
      <c r="J156" s="3">
        <f>DATEVALUE("2025/09/12 00:00:00")</f>
        <v>45912</v>
      </c>
      <c r="K156" s="3">
        <f>DATEVALUE("2025/10/01 00:00:00")</f>
        <v>45931</v>
      </c>
      <c r="L156" s="4">
        <v>5004</v>
      </c>
      <c r="M156" s="5">
        <v>9273.18</v>
      </c>
      <c r="N156" t="s">
        <v>34</v>
      </c>
      <c r="O156" s="5">
        <v>16180.08</v>
      </c>
      <c r="P156" s="5">
        <v>0</v>
      </c>
      <c r="Q156" s="5">
        <v>0</v>
      </c>
    </row>
    <row r="157" spans="1:17" x14ac:dyDescent="0.25">
      <c r="A157" t="s">
        <v>162</v>
      </c>
      <c r="B157" t="s">
        <v>163</v>
      </c>
      <c r="C157" t="s">
        <v>46</v>
      </c>
      <c r="D157" t="s">
        <v>47</v>
      </c>
      <c r="E157" t="s">
        <v>42</v>
      </c>
      <c r="F157" t="s">
        <v>43</v>
      </c>
      <c r="G157" t="s">
        <v>193</v>
      </c>
      <c r="H157" s="3">
        <f>DATEVALUE("2025/02/03 00:00:00")</f>
        <v>45691</v>
      </c>
      <c r="I157" s="3">
        <f>DATEVALUE("2025/02/04 00:00:00")</f>
        <v>45692</v>
      </c>
      <c r="J157" s="3">
        <f>DATEVALUE("2025/04/23 00:00:00")</f>
        <v>45770</v>
      </c>
      <c r="K157" s="3">
        <f>DATEVALUE("2025/05/09 00:00:00")</f>
        <v>45786</v>
      </c>
      <c r="L157" s="4">
        <v>3841</v>
      </c>
      <c r="M157" s="5">
        <v>6992.73</v>
      </c>
      <c r="N157" t="s">
        <v>34</v>
      </c>
      <c r="O157" s="5">
        <v>11632.9</v>
      </c>
      <c r="P157" s="5">
        <v>0</v>
      </c>
      <c r="Q157" s="5">
        <v>0</v>
      </c>
    </row>
    <row r="158" spans="1:17" x14ac:dyDescent="0.25">
      <c r="A158" t="s">
        <v>162</v>
      </c>
      <c r="B158" t="s">
        <v>163</v>
      </c>
      <c r="C158" t="s">
        <v>46</v>
      </c>
      <c r="D158" t="s">
        <v>47</v>
      </c>
      <c r="E158" t="s">
        <v>42</v>
      </c>
      <c r="F158" t="s">
        <v>43</v>
      </c>
      <c r="G158" t="s">
        <v>194</v>
      </c>
      <c r="H158" s="3">
        <f>DATEVALUE("2025/02/03 00:00:00")</f>
        <v>45691</v>
      </c>
      <c r="I158" s="3">
        <f>DATEVALUE("2025/02/04 00:00:00")</f>
        <v>45692</v>
      </c>
      <c r="J158" s="3">
        <f>DATEVALUE("2025/04/11 00:00:00")</f>
        <v>45758</v>
      </c>
      <c r="K158" s="3">
        <f>DATEVALUE("2025/05/09 00:00:00")</f>
        <v>45786</v>
      </c>
      <c r="L158" s="4">
        <v>2179</v>
      </c>
      <c r="M158" s="5">
        <v>5981.32</v>
      </c>
      <c r="N158" t="s">
        <v>34</v>
      </c>
      <c r="O158" s="5">
        <v>8765.2999999999993</v>
      </c>
      <c r="P158" s="5">
        <v>0</v>
      </c>
      <c r="Q158" s="5">
        <v>0</v>
      </c>
    </row>
    <row r="159" spans="1:17" x14ac:dyDescent="0.25">
      <c r="A159" t="s">
        <v>162</v>
      </c>
      <c r="B159" t="s">
        <v>163</v>
      </c>
      <c r="C159" t="s">
        <v>46</v>
      </c>
      <c r="D159" t="s">
        <v>47</v>
      </c>
      <c r="E159" t="s">
        <v>42</v>
      </c>
      <c r="F159" t="s">
        <v>43</v>
      </c>
      <c r="G159" t="s">
        <v>195</v>
      </c>
      <c r="H159" s="3">
        <f>DATEVALUE("2025/02/07 00:00:00")</f>
        <v>45695</v>
      </c>
      <c r="I159" s="3">
        <f>DATEVALUE("2025/02/08 00:00:00")</f>
        <v>45696</v>
      </c>
      <c r="J159" s="3">
        <f>DATEVALUE("2025/04/25 00:00:00")</f>
        <v>45772</v>
      </c>
      <c r="K159" s="3">
        <f>DATEVALUE("2025/05/23 00:00:00")</f>
        <v>45800</v>
      </c>
      <c r="L159" s="4">
        <v>214</v>
      </c>
      <c r="M159" s="5">
        <v>700.26</v>
      </c>
      <c r="N159" t="s">
        <v>34</v>
      </c>
      <c r="O159" s="5">
        <v>1012</v>
      </c>
      <c r="P159" s="5">
        <v>0</v>
      </c>
      <c r="Q159" s="5">
        <v>0</v>
      </c>
    </row>
    <row r="160" spans="1:17" x14ac:dyDescent="0.25">
      <c r="A160" t="s">
        <v>162</v>
      </c>
      <c r="B160" t="s">
        <v>163</v>
      </c>
      <c r="C160" t="s">
        <v>46</v>
      </c>
      <c r="D160" t="s">
        <v>47</v>
      </c>
      <c r="E160" t="s">
        <v>42</v>
      </c>
      <c r="F160" t="s">
        <v>43</v>
      </c>
      <c r="G160" t="s">
        <v>196</v>
      </c>
      <c r="H160" s="3">
        <f>DATEVALUE("2025/02/25 00:00:00")</f>
        <v>45713</v>
      </c>
      <c r="I160" s="3">
        <f>DATEVALUE("2025/02/26 00:00:00")</f>
        <v>45714</v>
      </c>
      <c r="J160" s="3">
        <f>DATEVALUE("2025/04/28 00:00:00")</f>
        <v>45775</v>
      </c>
      <c r="K160" s="3">
        <f>DATEVALUE("2025/05/16 00:00:00")</f>
        <v>45793</v>
      </c>
      <c r="L160" s="4">
        <v>1793</v>
      </c>
      <c r="M160" s="5">
        <v>2914.8</v>
      </c>
      <c r="N160" t="s">
        <v>34</v>
      </c>
      <c r="O160" s="5">
        <v>4781.1000000000004</v>
      </c>
      <c r="P160" s="5">
        <v>0</v>
      </c>
      <c r="Q160" s="5">
        <v>0</v>
      </c>
    </row>
    <row r="161" spans="1:17" x14ac:dyDescent="0.25">
      <c r="A161" t="s">
        <v>162</v>
      </c>
      <c r="B161" t="s">
        <v>163</v>
      </c>
      <c r="C161" t="s">
        <v>46</v>
      </c>
      <c r="D161" t="s">
        <v>47</v>
      </c>
      <c r="E161" t="s">
        <v>42</v>
      </c>
      <c r="F161" t="s">
        <v>43</v>
      </c>
      <c r="G161" t="s">
        <v>197</v>
      </c>
      <c r="H161" s="3">
        <f>DATEVALUE("2025/02/26 00:00:00")</f>
        <v>45714</v>
      </c>
      <c r="I161" s="3">
        <f>DATEVALUE("2025/02/27 00:00:00")</f>
        <v>45715</v>
      </c>
      <c r="J161" s="3">
        <f>DATEVALUE("2025/05/09 00:00:00")</f>
        <v>45786</v>
      </c>
      <c r="K161" s="3">
        <f>DATEVALUE("2025/05/29 00:00:00")</f>
        <v>45806</v>
      </c>
      <c r="L161" s="4">
        <v>170</v>
      </c>
      <c r="M161" s="5">
        <v>408</v>
      </c>
      <c r="N161" t="s">
        <v>34</v>
      </c>
      <c r="O161" s="5">
        <v>748</v>
      </c>
      <c r="P161" s="5">
        <v>0</v>
      </c>
      <c r="Q161" s="5">
        <v>0</v>
      </c>
    </row>
    <row r="162" spans="1:17" x14ac:dyDescent="0.25">
      <c r="A162" t="s">
        <v>162</v>
      </c>
      <c r="B162" t="s">
        <v>163</v>
      </c>
      <c r="C162" t="s">
        <v>46</v>
      </c>
      <c r="D162" t="s">
        <v>47</v>
      </c>
      <c r="E162" t="s">
        <v>42</v>
      </c>
      <c r="F162" t="s">
        <v>43</v>
      </c>
      <c r="G162" t="s">
        <v>198</v>
      </c>
      <c r="H162" s="3">
        <f>DATEVALUE("2025/03/07 00:00:00")</f>
        <v>45723</v>
      </c>
      <c r="I162" s="3">
        <f>DATEVALUE("2025/03/07 00:00:00")</f>
        <v>45723</v>
      </c>
      <c r="J162" s="3">
        <f>DATEVALUE("2025/05/29 00:00:00")</f>
        <v>45806</v>
      </c>
      <c r="K162" s="3">
        <f>DATEVALUE("2025/06/06 00:00:00")</f>
        <v>45814</v>
      </c>
      <c r="L162" s="4">
        <v>280</v>
      </c>
      <c r="M162" s="5">
        <v>310.8</v>
      </c>
      <c r="N162" t="s">
        <v>34</v>
      </c>
      <c r="O162" s="5">
        <v>476</v>
      </c>
      <c r="P162" s="5">
        <v>0</v>
      </c>
      <c r="Q162" s="5">
        <v>0</v>
      </c>
    </row>
    <row r="163" spans="1:17" x14ac:dyDescent="0.25">
      <c r="A163" t="s">
        <v>162</v>
      </c>
      <c r="B163" t="s">
        <v>163</v>
      </c>
      <c r="C163" t="s">
        <v>46</v>
      </c>
      <c r="D163" t="s">
        <v>47</v>
      </c>
      <c r="E163" t="s">
        <v>42</v>
      </c>
      <c r="F163" t="s">
        <v>43</v>
      </c>
      <c r="G163" t="s">
        <v>199</v>
      </c>
      <c r="H163" s="3">
        <f>DATEVALUE("2025/04/15 00:00:00")</f>
        <v>45762</v>
      </c>
      <c r="I163" s="3">
        <f>DATEVALUE("2025/04/16 00:00:00")</f>
        <v>45763</v>
      </c>
      <c r="J163" s="3">
        <f>DATEVALUE("2025/08/15 00:00:00")</f>
        <v>45884</v>
      </c>
      <c r="K163" s="3">
        <f>DATEVALUE("2025/08/22 00:00:00")</f>
        <v>45891</v>
      </c>
      <c r="L163" s="4">
        <v>100</v>
      </c>
      <c r="M163" s="5">
        <v>579</v>
      </c>
      <c r="N163" t="s">
        <v>34</v>
      </c>
      <c r="O163" s="5">
        <v>760</v>
      </c>
      <c r="P163" s="5">
        <v>0</v>
      </c>
      <c r="Q163" s="5">
        <v>0</v>
      </c>
    </row>
    <row r="164" spans="1:17" x14ac:dyDescent="0.25">
      <c r="A164" t="s">
        <v>162</v>
      </c>
      <c r="B164" t="s">
        <v>163</v>
      </c>
      <c r="C164" t="s">
        <v>46</v>
      </c>
      <c r="D164" t="s">
        <v>47</v>
      </c>
      <c r="E164" t="s">
        <v>42</v>
      </c>
      <c r="F164" t="s">
        <v>43</v>
      </c>
      <c r="G164" t="s">
        <v>200</v>
      </c>
      <c r="H164" s="3">
        <f>DATEVALUE("2025/04/23 00:00:00")</f>
        <v>45770</v>
      </c>
      <c r="I164" s="3">
        <f>DATEVALUE("2025/04/24 00:00:00")</f>
        <v>45771</v>
      </c>
      <c r="J164" s="3">
        <f>DATEVALUE("2025/07/30 00:00:00")</f>
        <v>45868</v>
      </c>
      <c r="K164" s="3">
        <f>DATEVALUE("2025/07/14 00:00:00")</f>
        <v>45852</v>
      </c>
      <c r="L164" s="4">
        <v>4559</v>
      </c>
      <c r="M164" s="5">
        <v>15547.74</v>
      </c>
      <c r="N164" t="s">
        <v>34</v>
      </c>
      <c r="O164" s="5">
        <v>22059.72</v>
      </c>
      <c r="P164" s="5">
        <v>0</v>
      </c>
      <c r="Q164" s="5">
        <v>0</v>
      </c>
    </row>
    <row r="165" spans="1:17" x14ac:dyDescent="0.25">
      <c r="A165" t="s">
        <v>162</v>
      </c>
      <c r="B165" t="s">
        <v>163</v>
      </c>
      <c r="C165" t="s">
        <v>46</v>
      </c>
      <c r="D165" t="s">
        <v>47</v>
      </c>
      <c r="E165" t="s">
        <v>42</v>
      </c>
      <c r="F165" t="s">
        <v>43</v>
      </c>
      <c r="G165" t="s">
        <v>201</v>
      </c>
      <c r="H165" s="3">
        <f>DATEVALUE("2025/05/09 00:00:00")</f>
        <v>45786</v>
      </c>
      <c r="I165" s="3">
        <f>DATEVALUE("2025/05/12 00:00:00")</f>
        <v>45789</v>
      </c>
      <c r="J165" s="3">
        <f>DATEVALUE("2025/08/20 00:00:00")</f>
        <v>45889</v>
      </c>
      <c r="K165" s="3">
        <f>DATEVALUE("2025/09/03 00:00:00")</f>
        <v>45903</v>
      </c>
      <c r="L165" s="4">
        <v>6220</v>
      </c>
      <c r="M165" s="5">
        <v>9360.9</v>
      </c>
      <c r="N165" t="s">
        <v>34</v>
      </c>
      <c r="O165" s="5">
        <v>16701.400000000001</v>
      </c>
      <c r="P165" s="5">
        <v>0</v>
      </c>
      <c r="Q165" s="5">
        <v>0</v>
      </c>
    </row>
    <row r="166" spans="1:17" x14ac:dyDescent="0.25">
      <c r="A166" t="s">
        <v>162</v>
      </c>
      <c r="B166" t="s">
        <v>163</v>
      </c>
      <c r="C166" t="s">
        <v>46</v>
      </c>
      <c r="D166" t="s">
        <v>47</v>
      </c>
      <c r="E166" t="s">
        <v>42</v>
      </c>
      <c r="F166" t="s">
        <v>43</v>
      </c>
      <c r="G166" t="s">
        <v>202</v>
      </c>
      <c r="H166" s="3">
        <f>DATEVALUE("2025/06/23 00:00:00")</f>
        <v>45831</v>
      </c>
      <c r="I166" s="3">
        <f>DATEVALUE("2025/06/23 00:00:00")</f>
        <v>45831</v>
      </c>
      <c r="J166" s="3">
        <f>DATEVALUE("2025/09/05 00:00:00")</f>
        <v>45905</v>
      </c>
      <c r="K166" s="3">
        <f>DATEVALUE("2025/10/03 00:00:00")</f>
        <v>45933</v>
      </c>
      <c r="L166" s="4">
        <v>115</v>
      </c>
      <c r="M166" s="5">
        <v>364.55</v>
      </c>
      <c r="N166" t="s">
        <v>34</v>
      </c>
      <c r="O166" s="5">
        <v>534.75</v>
      </c>
      <c r="P166" s="5">
        <v>0</v>
      </c>
      <c r="Q166" s="5">
        <v>0</v>
      </c>
    </row>
    <row r="167" spans="1:17" x14ac:dyDescent="0.25">
      <c r="A167" t="s">
        <v>162</v>
      </c>
      <c r="B167" t="s">
        <v>163</v>
      </c>
      <c r="C167" t="s">
        <v>46</v>
      </c>
      <c r="D167" t="s">
        <v>47</v>
      </c>
      <c r="E167" t="s">
        <v>21</v>
      </c>
      <c r="F167" t="s">
        <v>22</v>
      </c>
      <c r="G167" t="s">
        <v>203</v>
      </c>
      <c r="H167" s="3">
        <f>DATEVALUE("2025/02/04 00:00:00")</f>
        <v>45692</v>
      </c>
      <c r="I167" s="3">
        <f>DATEVALUE("2025/02/04 00:00:00")</f>
        <v>45692</v>
      </c>
      <c r="J167" s="3">
        <f>DATEVALUE("2025/04/18 00:00:00")</f>
        <v>45765</v>
      </c>
      <c r="K167" s="3">
        <f>DATEVALUE("2025/05/16 00:00:00")</f>
        <v>45793</v>
      </c>
      <c r="L167" s="4">
        <v>450</v>
      </c>
      <c r="M167" s="5">
        <v>310.5</v>
      </c>
      <c r="N167" t="s">
        <v>34</v>
      </c>
      <c r="O167" s="5">
        <v>1035</v>
      </c>
      <c r="P167" s="5">
        <v>0</v>
      </c>
      <c r="Q167" s="5">
        <v>0</v>
      </c>
    </row>
    <row r="168" spans="1:17" x14ac:dyDescent="0.25">
      <c r="A168" t="s">
        <v>162</v>
      </c>
      <c r="B168" t="s">
        <v>163</v>
      </c>
      <c r="C168" t="s">
        <v>46</v>
      </c>
      <c r="D168" t="s">
        <v>47</v>
      </c>
      <c r="E168" t="s">
        <v>21</v>
      </c>
      <c r="F168" t="s">
        <v>22</v>
      </c>
      <c r="G168" t="s">
        <v>183</v>
      </c>
      <c r="H168" s="3">
        <f>DATEVALUE("2025/02/13 00:00:00")</f>
        <v>45701</v>
      </c>
      <c r="I168" s="3">
        <f>DATEVALUE("2025/02/14 00:00:00")</f>
        <v>45702</v>
      </c>
      <c r="J168" s="3">
        <f>DATEVALUE("2025/05/08 00:00:00")</f>
        <v>45785</v>
      </c>
      <c r="K168" s="3">
        <f>DATEVALUE("2025/05/22 00:00:00")</f>
        <v>45799</v>
      </c>
      <c r="L168" s="4">
        <v>200</v>
      </c>
      <c r="M168" s="5">
        <v>918</v>
      </c>
      <c r="N168" t="s">
        <v>34</v>
      </c>
      <c r="O168" s="5">
        <v>1660</v>
      </c>
      <c r="P168" s="5">
        <v>0</v>
      </c>
      <c r="Q168" s="5">
        <v>0</v>
      </c>
    </row>
    <row r="169" spans="1:17" x14ac:dyDescent="0.25">
      <c r="A169" t="s">
        <v>162</v>
      </c>
      <c r="B169" t="s">
        <v>163</v>
      </c>
      <c r="C169" t="s">
        <v>46</v>
      </c>
      <c r="D169" t="s">
        <v>47</v>
      </c>
      <c r="E169" t="s">
        <v>21</v>
      </c>
      <c r="F169" t="s">
        <v>22</v>
      </c>
      <c r="G169" t="s">
        <v>185</v>
      </c>
      <c r="H169" s="3">
        <f>DATEVALUE("2025/04/17 00:00:00")</f>
        <v>45764</v>
      </c>
      <c r="I169" s="3">
        <f>DATEVALUE("2025/04/24 00:00:00")</f>
        <v>45771</v>
      </c>
      <c r="J169" s="3">
        <f>DATEVALUE("2025/06/20 00:00:00")</f>
        <v>45828</v>
      </c>
      <c r="K169" s="3">
        <f>DATEVALUE("2025/07/11 00:00:00")</f>
        <v>45849</v>
      </c>
      <c r="L169" s="4">
        <v>6232</v>
      </c>
      <c r="M169" s="5">
        <v>11492.6</v>
      </c>
      <c r="N169" t="s">
        <v>34</v>
      </c>
      <c r="O169" s="5">
        <v>24057.63</v>
      </c>
      <c r="P169" s="5">
        <v>0</v>
      </c>
      <c r="Q169" s="5">
        <v>0</v>
      </c>
    </row>
    <row r="170" spans="1:17" x14ac:dyDescent="0.25">
      <c r="A170" t="s">
        <v>162</v>
      </c>
      <c r="B170" t="s">
        <v>163</v>
      </c>
      <c r="C170" t="s">
        <v>46</v>
      </c>
      <c r="D170" t="s">
        <v>47</v>
      </c>
      <c r="E170" t="s">
        <v>21</v>
      </c>
      <c r="F170" t="s">
        <v>22</v>
      </c>
      <c r="G170" t="s">
        <v>188</v>
      </c>
      <c r="H170" s="3">
        <f>DATEVALUE("2025/06/05 00:00:00")</f>
        <v>45813</v>
      </c>
      <c r="I170" s="3">
        <f>DATEVALUE("2025/06/06 00:00:00")</f>
        <v>45814</v>
      </c>
      <c r="J170" s="3">
        <f>DATEVALUE("2025/09/09 00:00:00")</f>
        <v>45909</v>
      </c>
      <c r="K170" s="3">
        <f>DATEVALUE("2025/09/23 00:00:00")</f>
        <v>45923</v>
      </c>
      <c r="L170" s="4">
        <v>3419</v>
      </c>
      <c r="M170" s="5">
        <v>5750.69</v>
      </c>
      <c r="N170" t="s">
        <v>34</v>
      </c>
      <c r="O170" s="5">
        <v>12573.81</v>
      </c>
      <c r="P170" s="5">
        <v>0</v>
      </c>
      <c r="Q170" s="5">
        <v>0</v>
      </c>
    </row>
    <row r="171" spans="1:17" x14ac:dyDescent="0.25">
      <c r="A171" t="s">
        <v>162</v>
      </c>
      <c r="B171" t="s">
        <v>163</v>
      </c>
      <c r="C171" t="s">
        <v>46</v>
      </c>
      <c r="D171" t="s">
        <v>47</v>
      </c>
      <c r="E171" t="s">
        <v>21</v>
      </c>
      <c r="F171" t="s">
        <v>22</v>
      </c>
      <c r="G171" t="s">
        <v>204</v>
      </c>
      <c r="H171" s="3">
        <f>DATEVALUE("2025/06/19 00:00:00")</f>
        <v>45827</v>
      </c>
      <c r="I171" s="3">
        <f>DATEVALUE("2025/06/23 00:00:00")</f>
        <v>45831</v>
      </c>
      <c r="J171" s="3">
        <f>DATEVALUE("2025/09/05 00:00:00")</f>
        <v>45905</v>
      </c>
      <c r="K171" s="3">
        <f>DATEVALUE("2025/10/03 00:00:00")</f>
        <v>45933</v>
      </c>
      <c r="L171" s="4">
        <v>450</v>
      </c>
      <c r="M171" s="5">
        <v>3195</v>
      </c>
      <c r="N171" t="s">
        <v>34</v>
      </c>
      <c r="O171" s="5">
        <v>7681.5</v>
      </c>
      <c r="P171" s="5">
        <v>0</v>
      </c>
      <c r="Q171" s="5">
        <v>0</v>
      </c>
    </row>
    <row r="172" spans="1:17" x14ac:dyDescent="0.25">
      <c r="A172" t="s">
        <v>162</v>
      </c>
      <c r="B172" t="s">
        <v>163</v>
      </c>
      <c r="C172" t="s">
        <v>46</v>
      </c>
      <c r="D172" t="s">
        <v>47</v>
      </c>
      <c r="E172" t="s">
        <v>21</v>
      </c>
      <c r="F172" t="s">
        <v>22</v>
      </c>
      <c r="G172" t="s">
        <v>190</v>
      </c>
      <c r="H172" s="3">
        <f>DATEVALUE("2025/07/04 00:00:00")</f>
        <v>45842</v>
      </c>
      <c r="I172" s="3">
        <f>DATEVALUE("2025/07/04 00:00:00")</f>
        <v>45842</v>
      </c>
      <c r="J172" s="3">
        <f>DATEVALUE("2025/09/19 00:00:00")</f>
        <v>45919</v>
      </c>
      <c r="K172" s="3">
        <f>DATEVALUE("2025/10/03 00:00:00")</f>
        <v>45933</v>
      </c>
      <c r="L172" s="4">
        <v>1980</v>
      </c>
      <c r="M172" s="5">
        <v>2341.4</v>
      </c>
      <c r="N172" t="s">
        <v>34</v>
      </c>
      <c r="O172" s="5">
        <v>6040.8</v>
      </c>
      <c r="P172" s="5">
        <v>0</v>
      </c>
      <c r="Q172" s="5">
        <v>0</v>
      </c>
    </row>
    <row r="173" spans="1:17" x14ac:dyDescent="0.25">
      <c r="A173" t="s">
        <v>162</v>
      </c>
      <c r="B173" t="s">
        <v>163</v>
      </c>
      <c r="C173" t="s">
        <v>46</v>
      </c>
      <c r="D173" t="s">
        <v>47</v>
      </c>
      <c r="E173" t="s">
        <v>21</v>
      </c>
      <c r="F173" t="s">
        <v>22</v>
      </c>
      <c r="G173" t="s">
        <v>205</v>
      </c>
      <c r="H173" s="3">
        <f>DATEVALUE("2025/07/14 00:00:00")</f>
        <v>45852</v>
      </c>
      <c r="I173" s="3">
        <f>DATEVALUE("2025/07/14 00:00:00")</f>
        <v>45852</v>
      </c>
      <c r="J173" s="3">
        <f>DATEVALUE("2025/12/15 00:00:00")</f>
        <v>46006</v>
      </c>
      <c r="K173" s="3">
        <f>DATEVALUE("2025/12/29 00:00:00")</f>
        <v>46020</v>
      </c>
      <c r="L173" s="4">
        <v>600</v>
      </c>
      <c r="M173" s="5">
        <v>2736</v>
      </c>
      <c r="N173" t="s">
        <v>34</v>
      </c>
      <c r="O173" s="5">
        <v>7638</v>
      </c>
      <c r="P173" s="5">
        <v>0</v>
      </c>
      <c r="Q173" s="5">
        <v>0</v>
      </c>
    </row>
    <row r="174" spans="1:17" x14ac:dyDescent="0.25">
      <c r="A174" t="s">
        <v>162</v>
      </c>
      <c r="B174" t="s">
        <v>163</v>
      </c>
      <c r="C174" t="s">
        <v>68</v>
      </c>
      <c r="D174" t="s">
        <v>69</v>
      </c>
      <c r="E174" t="s">
        <v>31</v>
      </c>
      <c r="F174" t="s">
        <v>32</v>
      </c>
      <c r="G174" t="s">
        <v>206</v>
      </c>
      <c r="H174" s="3">
        <f>DATEVALUE("2025/02/25 00:00:00")</f>
        <v>45713</v>
      </c>
      <c r="I174" s="3">
        <f>DATEVALUE("2025/02/26 00:00:00")</f>
        <v>45714</v>
      </c>
      <c r="J174" s="3">
        <f>DATEVALUE("2025/06/13 00:00:00")</f>
        <v>45821</v>
      </c>
      <c r="K174" s="3">
        <f>DATEVALUE("2025/06/27 00:00:00")</f>
        <v>45835</v>
      </c>
      <c r="L174" s="4">
        <v>528</v>
      </c>
      <c r="M174" s="5">
        <v>4818.4799999999996</v>
      </c>
      <c r="N174" t="s">
        <v>24</v>
      </c>
      <c r="O174" s="5">
        <v>10284.040000000001</v>
      </c>
      <c r="P174" s="5">
        <v>0</v>
      </c>
      <c r="Q174" s="5">
        <v>0</v>
      </c>
    </row>
    <row r="175" spans="1:17" x14ac:dyDescent="0.25">
      <c r="A175" t="s">
        <v>162</v>
      </c>
      <c r="B175" t="s">
        <v>163</v>
      </c>
      <c r="C175" t="s">
        <v>68</v>
      </c>
      <c r="D175" t="s">
        <v>69</v>
      </c>
      <c r="E175" t="s">
        <v>31</v>
      </c>
      <c r="F175" t="s">
        <v>32</v>
      </c>
      <c r="G175" t="s">
        <v>207</v>
      </c>
      <c r="H175" s="3">
        <f>DATEVALUE("2025/05/29 00:00:00")</f>
        <v>45806</v>
      </c>
      <c r="I175" s="3">
        <f>DATEVALUE("2025/05/29 00:00:00")</f>
        <v>45806</v>
      </c>
      <c r="J175" s="3">
        <f>DATEVALUE("2025/09/04 00:00:00")</f>
        <v>45904</v>
      </c>
      <c r="K175" s="3">
        <f>DATEVALUE("2025/09/15 00:00:00")</f>
        <v>45915</v>
      </c>
      <c r="L175" s="4">
        <v>2850</v>
      </c>
      <c r="M175" s="5">
        <v>9115.5</v>
      </c>
      <c r="N175" t="s">
        <v>24</v>
      </c>
      <c r="O175" s="5">
        <v>17028.400000000001</v>
      </c>
      <c r="P175" s="5">
        <v>0</v>
      </c>
      <c r="Q175" s="5">
        <v>0</v>
      </c>
    </row>
    <row r="176" spans="1:17" x14ac:dyDescent="0.25">
      <c r="A176" t="s">
        <v>162</v>
      </c>
      <c r="B176" t="s">
        <v>163</v>
      </c>
      <c r="C176" t="s">
        <v>78</v>
      </c>
      <c r="D176" t="s">
        <v>79</v>
      </c>
      <c r="E176" t="s">
        <v>31</v>
      </c>
      <c r="F176" t="s">
        <v>32</v>
      </c>
      <c r="G176" t="s">
        <v>208</v>
      </c>
      <c r="H176" s="3">
        <f>DATEVALUE("2025/03/07 00:00:00")</f>
        <v>45723</v>
      </c>
      <c r="I176" s="3">
        <f>DATEVALUE("2025/03/10 00:00:00")</f>
        <v>45726</v>
      </c>
      <c r="J176" s="3">
        <f>DATEVALUE("2025/06/06 00:00:00")</f>
        <v>45814</v>
      </c>
      <c r="K176" s="3">
        <f>DATEVALUE("2025/06/20 00:00:00")</f>
        <v>45828</v>
      </c>
      <c r="L176" s="4">
        <v>4848</v>
      </c>
      <c r="M176" s="5">
        <v>12555.84</v>
      </c>
      <c r="N176" t="s">
        <v>24</v>
      </c>
      <c r="O176" s="5">
        <v>24388.799999999999</v>
      </c>
      <c r="P176" s="5">
        <v>0</v>
      </c>
      <c r="Q176" s="5">
        <v>0</v>
      </c>
    </row>
    <row r="177" spans="1:17" x14ac:dyDescent="0.25">
      <c r="A177" t="s">
        <v>162</v>
      </c>
      <c r="B177" t="s">
        <v>163</v>
      </c>
      <c r="C177" t="s">
        <v>78</v>
      </c>
      <c r="D177" t="s">
        <v>79</v>
      </c>
      <c r="E177" t="s">
        <v>31</v>
      </c>
      <c r="F177" t="s">
        <v>32</v>
      </c>
      <c r="G177" t="s">
        <v>209</v>
      </c>
      <c r="H177" s="3">
        <f>DATEVALUE("2025/04/14 00:00:00")</f>
        <v>45761</v>
      </c>
      <c r="I177" s="3">
        <f>DATEVALUE("2025/04/15 00:00:00")</f>
        <v>45762</v>
      </c>
      <c r="J177" s="3">
        <f>DATEVALUE("2025/07/18 00:00:00")</f>
        <v>45856</v>
      </c>
      <c r="K177" s="3">
        <f>DATEVALUE("2025/08/01 00:00:00")</f>
        <v>45870</v>
      </c>
      <c r="L177" s="4">
        <v>18792</v>
      </c>
      <c r="M177" s="5">
        <v>43523.28</v>
      </c>
      <c r="N177" t="s">
        <v>24</v>
      </c>
      <c r="O177" s="5">
        <v>85501.92</v>
      </c>
      <c r="P177" s="5">
        <v>0</v>
      </c>
      <c r="Q177" s="5">
        <v>0</v>
      </c>
    </row>
    <row r="178" spans="1:17" x14ac:dyDescent="0.25">
      <c r="A178" t="s">
        <v>162</v>
      </c>
      <c r="B178" t="s">
        <v>163</v>
      </c>
      <c r="C178" t="s">
        <v>78</v>
      </c>
      <c r="D178" t="s">
        <v>79</v>
      </c>
      <c r="E178" t="s">
        <v>56</v>
      </c>
      <c r="F178" t="s">
        <v>57</v>
      </c>
      <c r="G178" t="s">
        <v>208</v>
      </c>
      <c r="H178" s="3">
        <f>DATEVALUE("2025/03/07 00:00:00")</f>
        <v>45723</v>
      </c>
      <c r="I178" s="3">
        <f>DATEVALUE("2025/03/10 00:00:00")</f>
        <v>45726</v>
      </c>
      <c r="J178" s="3">
        <f>DATEVALUE("2025/06/06 00:00:00")</f>
        <v>45814</v>
      </c>
      <c r="K178" s="3">
        <f>DATEVALUE("2025/06/20 00:00:00")</f>
        <v>45828</v>
      </c>
      <c r="L178" s="4">
        <v>1920</v>
      </c>
      <c r="M178" s="5">
        <v>3033.6</v>
      </c>
      <c r="N178" t="s">
        <v>24</v>
      </c>
      <c r="O178" s="5">
        <v>5798.4</v>
      </c>
      <c r="P178" s="5">
        <v>0</v>
      </c>
      <c r="Q178" s="5">
        <v>0</v>
      </c>
    </row>
    <row r="179" spans="1:17" x14ac:dyDescent="0.25">
      <c r="A179" t="s">
        <v>162</v>
      </c>
      <c r="B179" t="s">
        <v>163</v>
      </c>
      <c r="C179" t="s">
        <v>78</v>
      </c>
      <c r="D179" t="s">
        <v>79</v>
      </c>
      <c r="E179" t="s">
        <v>56</v>
      </c>
      <c r="F179" t="s">
        <v>57</v>
      </c>
      <c r="G179" t="s">
        <v>209</v>
      </c>
      <c r="H179" s="3">
        <f>DATEVALUE("2025/04/14 00:00:00")</f>
        <v>45761</v>
      </c>
      <c r="I179" s="3">
        <f>DATEVALUE("2025/04/15 00:00:00")</f>
        <v>45762</v>
      </c>
      <c r="J179" s="3">
        <f>DATEVALUE("2025/07/18 00:00:00")</f>
        <v>45856</v>
      </c>
      <c r="K179" s="3">
        <f>DATEVALUE("2025/08/01 00:00:00")</f>
        <v>45870</v>
      </c>
      <c r="L179" s="4">
        <v>13704</v>
      </c>
      <c r="M179" s="5">
        <v>24461.040000000001</v>
      </c>
      <c r="N179" t="s">
        <v>24</v>
      </c>
      <c r="O179" s="5">
        <v>44478.96</v>
      </c>
      <c r="P179" s="5">
        <v>0</v>
      </c>
      <c r="Q179" s="5">
        <v>0</v>
      </c>
    </row>
    <row r="180" spans="1:17" x14ac:dyDescent="0.25">
      <c r="A180" t="s">
        <v>162</v>
      </c>
      <c r="B180" t="s">
        <v>163</v>
      </c>
      <c r="C180" t="s">
        <v>78</v>
      </c>
      <c r="D180" t="s">
        <v>79</v>
      </c>
      <c r="E180" t="s">
        <v>150</v>
      </c>
      <c r="F180" t="s">
        <v>151</v>
      </c>
      <c r="G180" t="s">
        <v>210</v>
      </c>
      <c r="H180" s="3">
        <f>DATEVALUE("2025/06/27 00:00:00")</f>
        <v>45835</v>
      </c>
      <c r="I180" s="3">
        <f>DATEVALUE("2025/06/27 00:00:00")</f>
        <v>45835</v>
      </c>
      <c r="J180" s="3">
        <f>DATEVALUE("2025/07/07 00:00:00")</f>
        <v>45845</v>
      </c>
      <c r="K180" s="3">
        <f>DATEVALUE("2025/07/09 00:00:00")</f>
        <v>45847</v>
      </c>
      <c r="L180" s="4">
        <v>4.05</v>
      </c>
      <c r="M180" s="5">
        <v>88.29</v>
      </c>
      <c r="N180" t="s">
        <v>24</v>
      </c>
      <c r="O180" s="5">
        <v>488.66</v>
      </c>
      <c r="P180" s="5">
        <v>0</v>
      </c>
      <c r="Q180" s="5">
        <v>0</v>
      </c>
    </row>
    <row r="181" spans="1:17" x14ac:dyDescent="0.25">
      <c r="A181" t="s">
        <v>162</v>
      </c>
      <c r="B181" t="s">
        <v>163</v>
      </c>
      <c r="C181" t="s">
        <v>84</v>
      </c>
      <c r="D181" t="s">
        <v>85</v>
      </c>
      <c r="E181" t="s">
        <v>31</v>
      </c>
      <c r="F181" t="s">
        <v>32</v>
      </c>
      <c r="G181" t="s">
        <v>211</v>
      </c>
      <c r="H181" s="3">
        <f>DATEVALUE("2025/01/08 00:00:00")</f>
        <v>45665</v>
      </c>
      <c r="I181" s="3">
        <f>DATEVALUE("2025/01/09 00:00:00")</f>
        <v>45666</v>
      </c>
      <c r="J181" s="3">
        <f>DATEVALUE("2025/05/26 00:00:00")</f>
        <v>45803</v>
      </c>
      <c r="K181" s="3">
        <f>DATEVALUE("2025/07/07 00:00:00")</f>
        <v>45845</v>
      </c>
      <c r="L181" s="4">
        <v>2170</v>
      </c>
      <c r="M181" s="5">
        <v>5514.6</v>
      </c>
      <c r="N181" t="s">
        <v>24</v>
      </c>
      <c r="O181" s="5">
        <v>19410.3</v>
      </c>
      <c r="P181" s="5">
        <v>0</v>
      </c>
      <c r="Q181" s="5">
        <v>0</v>
      </c>
    </row>
    <row r="182" spans="1:17" x14ac:dyDescent="0.25">
      <c r="A182" t="s">
        <v>162</v>
      </c>
      <c r="B182" t="s">
        <v>163</v>
      </c>
      <c r="C182" t="s">
        <v>84</v>
      </c>
      <c r="D182" t="s">
        <v>85</v>
      </c>
      <c r="E182" t="s">
        <v>31</v>
      </c>
      <c r="F182" t="s">
        <v>32</v>
      </c>
      <c r="G182" t="s">
        <v>212</v>
      </c>
      <c r="H182" s="3">
        <f>DATEVALUE("2025/02/25 00:00:00")</f>
        <v>45713</v>
      </c>
      <c r="I182" s="3">
        <f>DATEVALUE("2025/02/26 00:00:00")</f>
        <v>45714</v>
      </c>
      <c r="J182" s="3">
        <f>DATEVALUE("2025/06/23 00:00:00")</f>
        <v>45831</v>
      </c>
      <c r="K182" s="3">
        <f>DATEVALUE("2025/06/30 00:00:00")</f>
        <v>45838</v>
      </c>
      <c r="L182" s="4">
        <v>1050</v>
      </c>
      <c r="M182" s="5">
        <v>3465</v>
      </c>
      <c r="N182" t="s">
        <v>24</v>
      </c>
      <c r="O182" s="5">
        <v>14941.5</v>
      </c>
      <c r="P182" s="5">
        <v>0</v>
      </c>
      <c r="Q182" s="5">
        <v>0</v>
      </c>
    </row>
    <row r="183" spans="1:17" x14ac:dyDescent="0.25">
      <c r="A183" t="s">
        <v>162</v>
      </c>
      <c r="B183" t="s">
        <v>163</v>
      </c>
      <c r="C183" t="s">
        <v>84</v>
      </c>
      <c r="D183" t="s">
        <v>85</v>
      </c>
      <c r="E183" t="s">
        <v>56</v>
      </c>
      <c r="F183" t="s">
        <v>57</v>
      </c>
      <c r="G183" t="s">
        <v>211</v>
      </c>
      <c r="H183" s="3">
        <f>DATEVALUE("2025/01/08 00:00:00")</f>
        <v>45665</v>
      </c>
      <c r="I183" s="3">
        <f>DATEVALUE("2025/01/09 00:00:00")</f>
        <v>45666</v>
      </c>
      <c r="J183" s="3">
        <f>DATEVALUE("2025/07/28 00:00:00")</f>
        <v>45866</v>
      </c>
      <c r="K183" s="3">
        <f>DATEVALUE("2025/08/11 00:00:00")</f>
        <v>45880</v>
      </c>
      <c r="L183" s="4">
        <v>5540</v>
      </c>
      <c r="M183" s="5">
        <v>10466.4</v>
      </c>
      <c r="N183" t="s">
        <v>24</v>
      </c>
      <c r="O183" s="5">
        <v>19600.2</v>
      </c>
      <c r="P183" s="5">
        <v>0</v>
      </c>
      <c r="Q183" s="5">
        <v>0</v>
      </c>
    </row>
    <row r="184" spans="1:17" x14ac:dyDescent="0.25">
      <c r="A184" t="s">
        <v>162</v>
      </c>
      <c r="B184" t="s">
        <v>163</v>
      </c>
      <c r="C184" t="s">
        <v>84</v>
      </c>
      <c r="D184" t="s">
        <v>85</v>
      </c>
      <c r="E184" t="s">
        <v>66</v>
      </c>
      <c r="F184" t="s">
        <v>67</v>
      </c>
      <c r="G184" t="s">
        <v>211</v>
      </c>
      <c r="H184" s="3">
        <f>DATEVALUE("2025/01/08 00:00:00")</f>
        <v>45665</v>
      </c>
      <c r="I184" s="3">
        <f>DATEVALUE("2025/01/09 00:00:00")</f>
        <v>45666</v>
      </c>
      <c r="J184" s="3">
        <f>DATEVALUE("2025/06/02 00:00:00")</f>
        <v>45810</v>
      </c>
      <c r="K184" s="3">
        <f>DATEVALUE("2025/06/16 00:00:00")</f>
        <v>45824</v>
      </c>
      <c r="L184" s="4">
        <v>3300</v>
      </c>
      <c r="M184" s="5">
        <v>15807</v>
      </c>
      <c r="N184" t="s">
        <v>24</v>
      </c>
      <c r="O184" s="5">
        <v>62271</v>
      </c>
      <c r="P184" s="5">
        <v>0</v>
      </c>
      <c r="Q184" s="5">
        <v>0</v>
      </c>
    </row>
    <row r="185" spans="1:17" x14ac:dyDescent="0.25">
      <c r="A185" t="s">
        <v>162</v>
      </c>
      <c r="B185" t="s">
        <v>163</v>
      </c>
      <c r="C185" t="s">
        <v>103</v>
      </c>
      <c r="D185" t="s">
        <v>104</v>
      </c>
      <c r="E185" t="s">
        <v>21</v>
      </c>
      <c r="F185" t="s">
        <v>22</v>
      </c>
      <c r="G185" t="s">
        <v>213</v>
      </c>
      <c r="H185" s="3">
        <f>DATEVALUE("2025/03/27 00:00:00")</f>
        <v>45743</v>
      </c>
      <c r="I185" s="3">
        <f>DATEVALUE("2025/03/27 00:00:00")</f>
        <v>45743</v>
      </c>
      <c r="J185" s="3">
        <f>DATEVALUE("2025/06/27 00:00:00")</f>
        <v>45835</v>
      </c>
      <c r="K185" s="3">
        <f>DATEVALUE("2025/07/11 00:00:00")</f>
        <v>45849</v>
      </c>
      <c r="L185" s="4">
        <v>2520</v>
      </c>
      <c r="M185" s="5">
        <v>18144</v>
      </c>
      <c r="N185" t="s">
        <v>24</v>
      </c>
      <c r="O185" s="5">
        <v>39538.800000000003</v>
      </c>
      <c r="P185" s="5">
        <v>0</v>
      </c>
      <c r="Q185" s="5">
        <v>0</v>
      </c>
    </row>
    <row r="186" spans="1:17" x14ac:dyDescent="0.25">
      <c r="A186" t="s">
        <v>162</v>
      </c>
      <c r="B186" t="s">
        <v>163</v>
      </c>
      <c r="C186" t="s">
        <v>107</v>
      </c>
      <c r="D186" t="s">
        <v>108</v>
      </c>
      <c r="E186" t="s">
        <v>150</v>
      </c>
      <c r="F186" t="s">
        <v>151</v>
      </c>
      <c r="G186" t="s">
        <v>214</v>
      </c>
      <c r="H186" s="3">
        <f>DATEVALUE("2025/02/12 00:00:00")</f>
        <v>45700</v>
      </c>
      <c r="I186" s="3">
        <f>DATEVALUE("2025/02/12 00:00:00")</f>
        <v>45700</v>
      </c>
      <c r="J186" s="3">
        <f>DATEVALUE("2025/06/13 00:00:00")</f>
        <v>45821</v>
      </c>
      <c r="K186" s="3">
        <f>DATEVALUE("2025/06/27 00:00:00")</f>
        <v>45835</v>
      </c>
      <c r="L186" s="4">
        <v>558.6</v>
      </c>
      <c r="M186" s="5">
        <v>13505.34</v>
      </c>
      <c r="N186" t="s">
        <v>24</v>
      </c>
      <c r="O186" s="5">
        <v>121912.68</v>
      </c>
      <c r="P186" s="5">
        <v>0</v>
      </c>
      <c r="Q186" s="5">
        <v>0</v>
      </c>
    </row>
    <row r="187" spans="1:17" x14ac:dyDescent="0.25">
      <c r="A187" t="s">
        <v>162</v>
      </c>
      <c r="B187" t="s">
        <v>163</v>
      </c>
      <c r="C187" t="s">
        <v>107</v>
      </c>
      <c r="D187" t="s">
        <v>108</v>
      </c>
      <c r="E187" t="s">
        <v>66</v>
      </c>
      <c r="F187" t="s">
        <v>67</v>
      </c>
      <c r="G187" t="s">
        <v>215</v>
      </c>
      <c r="H187" s="3">
        <f>DATEVALUE("2025/01/14 00:00:00")</f>
        <v>45671</v>
      </c>
      <c r="I187" s="3">
        <f>DATEVALUE("2025/01/14 00:00:00")</f>
        <v>45671</v>
      </c>
      <c r="J187" s="3">
        <f>DATEVALUE("2025/04/03 00:00:00")</f>
        <v>45750</v>
      </c>
      <c r="K187" s="3">
        <f>DATEVALUE("2025/04/18 00:00:00")</f>
        <v>45765</v>
      </c>
      <c r="L187" s="4">
        <v>3913.2</v>
      </c>
      <c r="M187" s="5">
        <v>19786.919999999998</v>
      </c>
      <c r="N187" t="s">
        <v>24</v>
      </c>
      <c r="O187" s="5">
        <v>46614.12</v>
      </c>
      <c r="P187" s="5">
        <v>0</v>
      </c>
      <c r="Q187" s="5">
        <v>0</v>
      </c>
    </row>
    <row r="188" spans="1:17" x14ac:dyDescent="0.25">
      <c r="A188" t="s">
        <v>162</v>
      </c>
      <c r="B188" t="s">
        <v>163</v>
      </c>
      <c r="C188" t="s">
        <v>107</v>
      </c>
      <c r="D188" t="s">
        <v>108</v>
      </c>
      <c r="E188" t="s">
        <v>66</v>
      </c>
      <c r="F188" t="s">
        <v>67</v>
      </c>
      <c r="G188" t="s">
        <v>216</v>
      </c>
      <c r="H188" s="3">
        <f>DATEVALUE("2025/04/02 00:00:00")</f>
        <v>45749</v>
      </c>
      <c r="I188" s="3">
        <f>DATEVALUE("2025/04/07 00:00:00")</f>
        <v>45754</v>
      </c>
      <c r="J188" s="3">
        <f>DATEVALUE("2025/07/09 00:00:00")</f>
        <v>45847</v>
      </c>
      <c r="K188" s="3">
        <f>DATEVALUE("2025/07/23 00:00:00")</f>
        <v>45861</v>
      </c>
      <c r="L188" s="4">
        <v>4006.643</v>
      </c>
      <c r="M188" s="5">
        <v>18366.11</v>
      </c>
      <c r="N188" t="s">
        <v>24</v>
      </c>
      <c r="O188" s="5">
        <v>46695.72</v>
      </c>
      <c r="P188" s="5">
        <v>0</v>
      </c>
      <c r="Q188" s="5">
        <v>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SSL0710Q_20250715083400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顏劭仲 Wesley</dc:creator>
  <cp:lastModifiedBy>顏劭仲Wesley</cp:lastModifiedBy>
  <cp:lastPrinted>2025-07-15T00:34:24Z</cp:lastPrinted>
  <dcterms:created xsi:type="dcterms:W3CDTF">2025-07-15T00:34:42Z</dcterms:created>
  <dcterms:modified xsi:type="dcterms:W3CDTF">2025-07-15T00:34:42Z</dcterms:modified>
</cp:coreProperties>
</file>