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sley\Desktop\workboard\Monthly_SHIP_BRIEF\"/>
    </mc:Choice>
  </mc:AlternateContent>
  <xr:revisionPtr revIDLastSave="0" documentId="8_{57D5331C-D564-48F2-A826-DDE235559DC4}" xr6:coauthVersionLast="47" xr6:coauthVersionMax="47" xr10:uidLastSave="{00000000-0000-0000-0000-000000000000}"/>
  <bookViews>
    <workbookView xWindow="-120" yWindow="-120" windowWidth="29040" windowHeight="15840" xr2:uid="{68BDFDA0-49BD-4D92-861E-BA53912B4588}"/>
  </bookViews>
  <sheets>
    <sheet name="SDL0800Q_20241111092113" sheetId="1" r:id="rId1"/>
  </sheets>
  <calcPr calcId="0"/>
</workbook>
</file>

<file path=xl/calcChain.xml><?xml version="1.0" encoding="utf-8"?>
<calcChain xmlns="http://schemas.openxmlformats.org/spreadsheetml/2006/main">
  <c r="K388" i="1" l="1"/>
  <c r="J388" i="1"/>
  <c r="I388" i="1"/>
  <c r="K387" i="1"/>
  <c r="J387" i="1"/>
  <c r="I387" i="1"/>
  <c r="K386" i="1"/>
  <c r="J386" i="1"/>
  <c r="I386" i="1"/>
  <c r="K385" i="1"/>
  <c r="J385" i="1"/>
  <c r="I385" i="1"/>
  <c r="K384" i="1"/>
  <c r="J384" i="1"/>
  <c r="I384" i="1"/>
  <c r="K383" i="1"/>
  <c r="J383" i="1"/>
  <c r="I383" i="1"/>
  <c r="K382" i="1"/>
  <c r="J382" i="1"/>
  <c r="I382" i="1"/>
  <c r="K381" i="1"/>
  <c r="J381" i="1"/>
  <c r="I381" i="1"/>
  <c r="K380" i="1"/>
  <c r="J380" i="1"/>
  <c r="I380" i="1"/>
  <c r="K379" i="1"/>
  <c r="J379" i="1"/>
  <c r="I379" i="1"/>
  <c r="K378" i="1"/>
  <c r="J378" i="1"/>
  <c r="I378" i="1"/>
  <c r="K377" i="1"/>
  <c r="J377" i="1"/>
  <c r="I377" i="1"/>
  <c r="K376" i="1"/>
  <c r="J376" i="1"/>
  <c r="I376" i="1"/>
  <c r="K375" i="1"/>
  <c r="J375" i="1"/>
  <c r="I375" i="1"/>
  <c r="K374" i="1"/>
  <c r="J374" i="1"/>
  <c r="I374" i="1"/>
  <c r="K373" i="1"/>
  <c r="J373" i="1"/>
  <c r="I373" i="1"/>
  <c r="K372" i="1"/>
  <c r="J372" i="1"/>
  <c r="I372" i="1"/>
  <c r="K371" i="1"/>
  <c r="J371" i="1"/>
  <c r="I371" i="1"/>
  <c r="K370" i="1"/>
  <c r="J370" i="1"/>
  <c r="I370" i="1"/>
  <c r="K369" i="1"/>
  <c r="J369" i="1"/>
  <c r="I369" i="1"/>
  <c r="K368" i="1"/>
  <c r="J368" i="1"/>
  <c r="I368" i="1"/>
  <c r="K367" i="1"/>
  <c r="J367" i="1"/>
  <c r="I367" i="1"/>
  <c r="K366" i="1"/>
  <c r="J366" i="1"/>
  <c r="I366" i="1"/>
  <c r="K365" i="1"/>
  <c r="J365" i="1"/>
  <c r="I365" i="1"/>
  <c r="K364" i="1"/>
  <c r="J364" i="1"/>
  <c r="I364" i="1"/>
  <c r="K363" i="1"/>
  <c r="J363" i="1"/>
  <c r="I363" i="1"/>
  <c r="K362" i="1"/>
  <c r="J362" i="1"/>
  <c r="I362" i="1"/>
  <c r="K361" i="1"/>
  <c r="J361" i="1"/>
  <c r="I361" i="1"/>
  <c r="K360" i="1"/>
  <c r="J360" i="1"/>
  <c r="I360" i="1"/>
  <c r="K359" i="1"/>
  <c r="J359" i="1"/>
  <c r="I359" i="1"/>
  <c r="K358" i="1"/>
  <c r="J358" i="1"/>
  <c r="I358" i="1"/>
  <c r="K357" i="1"/>
  <c r="J357" i="1"/>
  <c r="I357" i="1"/>
  <c r="K356" i="1"/>
  <c r="J356" i="1"/>
  <c r="I356" i="1"/>
  <c r="K355" i="1"/>
  <c r="J355" i="1"/>
  <c r="I355" i="1"/>
  <c r="K354" i="1"/>
  <c r="J354" i="1"/>
  <c r="I354" i="1"/>
  <c r="K353" i="1"/>
  <c r="J353" i="1"/>
  <c r="I353" i="1"/>
  <c r="K352" i="1"/>
  <c r="J352" i="1"/>
  <c r="I352" i="1"/>
  <c r="K351" i="1"/>
  <c r="J351" i="1"/>
  <c r="I351" i="1"/>
  <c r="K350" i="1"/>
  <c r="J350" i="1"/>
  <c r="I350" i="1"/>
  <c r="K349" i="1"/>
  <c r="J349" i="1"/>
  <c r="I349" i="1"/>
  <c r="K348" i="1"/>
  <c r="J348" i="1"/>
  <c r="I348" i="1"/>
  <c r="K347" i="1"/>
  <c r="J347" i="1"/>
  <c r="I347" i="1"/>
  <c r="K346" i="1"/>
  <c r="J346" i="1"/>
  <c r="I346" i="1"/>
  <c r="K345" i="1"/>
  <c r="J345" i="1"/>
  <c r="I345" i="1"/>
  <c r="K344" i="1"/>
  <c r="J344" i="1"/>
  <c r="I344" i="1"/>
  <c r="K343" i="1"/>
  <c r="J343" i="1"/>
  <c r="I343" i="1"/>
  <c r="K342" i="1"/>
  <c r="J342" i="1"/>
  <c r="I342" i="1"/>
  <c r="K341" i="1"/>
  <c r="J341" i="1"/>
  <c r="I341" i="1"/>
  <c r="K340" i="1"/>
  <c r="J340" i="1"/>
  <c r="I340" i="1"/>
  <c r="K339" i="1"/>
  <c r="J339" i="1"/>
  <c r="I339" i="1"/>
  <c r="K338" i="1"/>
  <c r="J338" i="1"/>
  <c r="I338" i="1"/>
  <c r="K337" i="1"/>
  <c r="J337" i="1"/>
  <c r="I337" i="1"/>
  <c r="K336" i="1"/>
  <c r="J336" i="1"/>
  <c r="I336" i="1"/>
  <c r="K335" i="1"/>
  <c r="J335" i="1"/>
  <c r="I335" i="1"/>
  <c r="K334" i="1"/>
  <c r="J334" i="1"/>
  <c r="I334" i="1"/>
  <c r="K333" i="1"/>
  <c r="J333" i="1"/>
  <c r="I333" i="1"/>
  <c r="K332" i="1"/>
  <c r="J332" i="1"/>
  <c r="I332" i="1"/>
  <c r="K331" i="1"/>
  <c r="J331" i="1"/>
  <c r="I331" i="1"/>
  <c r="K330" i="1"/>
  <c r="J330" i="1"/>
  <c r="I330" i="1"/>
  <c r="K329" i="1"/>
  <c r="J329" i="1"/>
  <c r="I329" i="1"/>
  <c r="K328" i="1"/>
  <c r="J328" i="1"/>
  <c r="I328" i="1"/>
  <c r="K327" i="1"/>
  <c r="J327" i="1"/>
  <c r="I327" i="1"/>
  <c r="K326" i="1"/>
  <c r="J326" i="1"/>
  <c r="I326" i="1"/>
  <c r="K325" i="1"/>
  <c r="J325" i="1"/>
  <c r="I325" i="1"/>
  <c r="K324" i="1"/>
  <c r="J324" i="1"/>
  <c r="I324" i="1"/>
  <c r="K323" i="1"/>
  <c r="J323" i="1"/>
  <c r="I323" i="1"/>
  <c r="K322" i="1"/>
  <c r="J322" i="1"/>
  <c r="I322" i="1"/>
  <c r="K321" i="1"/>
  <c r="J321" i="1"/>
  <c r="I321" i="1"/>
  <c r="K320" i="1"/>
  <c r="J320" i="1"/>
  <c r="I320" i="1"/>
  <c r="K319" i="1"/>
  <c r="J319" i="1"/>
  <c r="I319" i="1"/>
  <c r="K318" i="1"/>
  <c r="J318" i="1"/>
  <c r="I318" i="1"/>
  <c r="K317" i="1"/>
  <c r="J317" i="1"/>
  <c r="I317" i="1"/>
  <c r="K316" i="1"/>
  <c r="J316" i="1"/>
  <c r="I316" i="1"/>
  <c r="K315" i="1"/>
  <c r="J315" i="1"/>
  <c r="I315" i="1"/>
  <c r="K314" i="1"/>
  <c r="J314" i="1"/>
  <c r="I314" i="1"/>
  <c r="K313" i="1"/>
  <c r="J313" i="1"/>
  <c r="I313" i="1"/>
  <c r="K312" i="1"/>
  <c r="J312" i="1"/>
  <c r="I312" i="1"/>
  <c r="K311" i="1"/>
  <c r="J311" i="1"/>
  <c r="I311" i="1"/>
  <c r="K310" i="1"/>
  <c r="J310" i="1"/>
  <c r="I310" i="1"/>
  <c r="K309" i="1"/>
  <c r="J309" i="1"/>
  <c r="I309" i="1"/>
  <c r="K308" i="1"/>
  <c r="J308" i="1"/>
  <c r="I308" i="1"/>
  <c r="K307" i="1"/>
  <c r="J307" i="1"/>
  <c r="I307" i="1"/>
  <c r="K306" i="1"/>
  <c r="J306" i="1"/>
  <c r="I306" i="1"/>
  <c r="K305" i="1"/>
  <c r="J305" i="1"/>
  <c r="I305" i="1"/>
  <c r="K304" i="1"/>
  <c r="J304" i="1"/>
  <c r="I304" i="1"/>
  <c r="K303" i="1"/>
  <c r="J303" i="1"/>
  <c r="I303" i="1"/>
  <c r="K302" i="1"/>
  <c r="J302" i="1"/>
  <c r="I302" i="1"/>
  <c r="K301" i="1"/>
  <c r="J301" i="1"/>
  <c r="I301" i="1"/>
  <c r="K300" i="1"/>
  <c r="J300" i="1"/>
  <c r="I300" i="1"/>
  <c r="K299" i="1"/>
  <c r="J299" i="1"/>
  <c r="I299" i="1"/>
  <c r="K298" i="1"/>
  <c r="J298" i="1"/>
  <c r="I298" i="1"/>
  <c r="K297" i="1"/>
  <c r="J297" i="1"/>
  <c r="I297" i="1"/>
  <c r="K296" i="1"/>
  <c r="J296" i="1"/>
  <c r="I296" i="1"/>
  <c r="K295" i="1"/>
  <c r="J295" i="1"/>
  <c r="I295" i="1"/>
  <c r="K294" i="1"/>
  <c r="J294" i="1"/>
  <c r="I294" i="1"/>
  <c r="K293" i="1"/>
  <c r="J293" i="1"/>
  <c r="I293" i="1"/>
  <c r="K292" i="1"/>
  <c r="J292" i="1"/>
  <c r="I292" i="1"/>
  <c r="K291" i="1"/>
  <c r="J291" i="1"/>
  <c r="I291" i="1"/>
  <c r="K290" i="1"/>
  <c r="J290" i="1"/>
  <c r="I290" i="1"/>
  <c r="K289" i="1"/>
  <c r="J289" i="1"/>
  <c r="I289" i="1"/>
  <c r="K288" i="1"/>
  <c r="J288" i="1"/>
  <c r="I288" i="1"/>
  <c r="K287" i="1"/>
  <c r="J287" i="1"/>
  <c r="I287" i="1"/>
  <c r="K286" i="1"/>
  <c r="J286" i="1"/>
  <c r="I286" i="1"/>
  <c r="K285" i="1"/>
  <c r="J285" i="1"/>
  <c r="I285" i="1"/>
  <c r="K284" i="1"/>
  <c r="J284" i="1"/>
  <c r="I284" i="1"/>
  <c r="K283" i="1"/>
  <c r="J283" i="1"/>
  <c r="I283" i="1"/>
  <c r="K282" i="1"/>
  <c r="J282" i="1"/>
  <c r="I282" i="1"/>
  <c r="K281" i="1"/>
  <c r="J281" i="1"/>
  <c r="I281" i="1"/>
  <c r="K280" i="1"/>
  <c r="J280" i="1"/>
  <c r="I280" i="1"/>
  <c r="K279" i="1"/>
  <c r="J279" i="1"/>
  <c r="I279" i="1"/>
  <c r="K278" i="1"/>
  <c r="J278" i="1"/>
  <c r="I278" i="1"/>
  <c r="K277" i="1"/>
  <c r="J277" i="1"/>
  <c r="I277" i="1"/>
  <c r="K276" i="1"/>
  <c r="J276" i="1"/>
  <c r="I276" i="1"/>
  <c r="K275" i="1"/>
  <c r="J275" i="1"/>
  <c r="I275" i="1"/>
  <c r="K274" i="1"/>
  <c r="J274" i="1"/>
  <c r="I274" i="1"/>
  <c r="K273" i="1"/>
  <c r="J273" i="1"/>
  <c r="I273" i="1"/>
  <c r="K272" i="1"/>
  <c r="J272" i="1"/>
  <c r="I272" i="1"/>
  <c r="K271" i="1"/>
  <c r="J271" i="1"/>
  <c r="I271" i="1"/>
  <c r="K270" i="1"/>
  <c r="J270" i="1"/>
  <c r="I270" i="1"/>
  <c r="K269" i="1"/>
  <c r="J269" i="1"/>
  <c r="I269" i="1"/>
  <c r="K268" i="1"/>
  <c r="J268" i="1"/>
  <c r="I268" i="1"/>
  <c r="K267" i="1"/>
  <c r="J267" i="1"/>
  <c r="I267" i="1"/>
  <c r="K266" i="1"/>
  <c r="J266" i="1"/>
  <c r="I266" i="1"/>
  <c r="K265" i="1"/>
  <c r="J265" i="1"/>
  <c r="I265" i="1"/>
  <c r="K264" i="1"/>
  <c r="J264" i="1"/>
  <c r="I264" i="1"/>
  <c r="K263" i="1"/>
  <c r="J263" i="1"/>
  <c r="I263" i="1"/>
  <c r="K262" i="1"/>
  <c r="J262" i="1"/>
  <c r="I262" i="1"/>
  <c r="K261" i="1"/>
  <c r="J261" i="1"/>
  <c r="I261" i="1"/>
  <c r="K260" i="1"/>
  <c r="J260" i="1"/>
  <c r="I260" i="1"/>
  <c r="K259" i="1"/>
  <c r="J259" i="1"/>
  <c r="I259" i="1"/>
  <c r="K258" i="1"/>
  <c r="J258" i="1"/>
  <c r="I258" i="1"/>
  <c r="K257" i="1"/>
  <c r="J257" i="1"/>
  <c r="I257" i="1"/>
  <c r="K256" i="1"/>
  <c r="J256" i="1"/>
  <c r="I256" i="1"/>
  <c r="K255" i="1"/>
  <c r="J255" i="1"/>
  <c r="I255" i="1"/>
  <c r="K254" i="1"/>
  <c r="J254" i="1"/>
  <c r="I254" i="1"/>
  <c r="K253" i="1"/>
  <c r="J253" i="1"/>
  <c r="I253" i="1"/>
  <c r="K252" i="1"/>
  <c r="J252" i="1"/>
  <c r="I252" i="1"/>
  <c r="K251" i="1"/>
  <c r="J251" i="1"/>
  <c r="I251" i="1"/>
  <c r="K250" i="1"/>
  <c r="J250" i="1"/>
  <c r="I250" i="1"/>
  <c r="K249" i="1"/>
  <c r="J249" i="1"/>
  <c r="I249" i="1"/>
  <c r="K248" i="1"/>
  <c r="J248" i="1"/>
  <c r="I248" i="1"/>
  <c r="K247" i="1"/>
  <c r="J247" i="1"/>
  <c r="I247" i="1"/>
  <c r="K246" i="1"/>
  <c r="J246" i="1"/>
  <c r="I246" i="1"/>
  <c r="K245" i="1"/>
  <c r="J245" i="1"/>
  <c r="I245" i="1"/>
  <c r="K244" i="1"/>
  <c r="J244" i="1"/>
  <c r="I244" i="1"/>
  <c r="K243" i="1"/>
  <c r="J243" i="1"/>
  <c r="I243" i="1"/>
  <c r="K242" i="1"/>
  <c r="J242" i="1"/>
  <c r="I242" i="1"/>
  <c r="K241" i="1"/>
  <c r="J241" i="1"/>
  <c r="I241" i="1"/>
  <c r="K240" i="1"/>
  <c r="J240" i="1"/>
  <c r="I240" i="1"/>
  <c r="K239" i="1"/>
  <c r="J239" i="1"/>
  <c r="I239" i="1"/>
  <c r="K238" i="1"/>
  <c r="J238" i="1"/>
  <c r="I238" i="1"/>
  <c r="K237" i="1"/>
  <c r="J237" i="1"/>
  <c r="I237" i="1"/>
  <c r="K236" i="1"/>
  <c r="J236" i="1"/>
  <c r="I236" i="1"/>
  <c r="K235" i="1"/>
  <c r="J235" i="1"/>
  <c r="I235" i="1"/>
  <c r="K234" i="1"/>
  <c r="J234" i="1"/>
  <c r="I234" i="1"/>
  <c r="K233" i="1"/>
  <c r="J233" i="1"/>
  <c r="I233" i="1"/>
  <c r="K232" i="1"/>
  <c r="J232" i="1"/>
  <c r="I232" i="1"/>
  <c r="K231" i="1"/>
  <c r="J231" i="1"/>
  <c r="I231" i="1"/>
  <c r="K230" i="1"/>
  <c r="J230" i="1"/>
  <c r="I230" i="1"/>
  <c r="K229" i="1"/>
  <c r="J229" i="1"/>
  <c r="I229" i="1"/>
  <c r="K228" i="1"/>
  <c r="J228" i="1"/>
  <c r="I228" i="1"/>
  <c r="K227" i="1"/>
  <c r="J227" i="1"/>
  <c r="I227" i="1"/>
  <c r="K226" i="1"/>
  <c r="J226" i="1"/>
  <c r="I226" i="1"/>
  <c r="K225" i="1"/>
  <c r="J225" i="1"/>
  <c r="I225" i="1"/>
  <c r="K224" i="1"/>
  <c r="J224" i="1"/>
  <c r="I224" i="1"/>
  <c r="K223" i="1"/>
  <c r="J223" i="1"/>
  <c r="I223" i="1"/>
  <c r="K222" i="1"/>
  <c r="J222" i="1"/>
  <c r="I222" i="1"/>
  <c r="K221" i="1"/>
  <c r="J221" i="1"/>
  <c r="I221" i="1"/>
  <c r="K220" i="1"/>
  <c r="J220" i="1"/>
  <c r="I220" i="1"/>
  <c r="K219" i="1"/>
  <c r="J219" i="1"/>
  <c r="I219" i="1"/>
  <c r="K218" i="1"/>
  <c r="J218" i="1"/>
  <c r="I218" i="1"/>
  <c r="K217" i="1"/>
  <c r="J217" i="1"/>
  <c r="I217" i="1"/>
  <c r="K216" i="1"/>
  <c r="J216" i="1"/>
  <c r="I216" i="1"/>
  <c r="K215" i="1"/>
  <c r="J215" i="1"/>
  <c r="I215" i="1"/>
  <c r="K214" i="1"/>
  <c r="J214" i="1"/>
  <c r="I214" i="1"/>
  <c r="K213" i="1"/>
  <c r="J213" i="1"/>
  <c r="I213" i="1"/>
  <c r="K212" i="1"/>
  <c r="J212" i="1"/>
  <c r="I212" i="1"/>
  <c r="K211" i="1"/>
  <c r="J211" i="1"/>
  <c r="I211" i="1"/>
  <c r="K210" i="1"/>
  <c r="J210" i="1"/>
  <c r="I210" i="1"/>
  <c r="K209" i="1"/>
  <c r="J209" i="1"/>
  <c r="I209" i="1"/>
  <c r="K208" i="1"/>
  <c r="J208" i="1"/>
  <c r="I208" i="1"/>
  <c r="K207" i="1"/>
  <c r="J207" i="1"/>
  <c r="I207" i="1"/>
  <c r="K206" i="1"/>
  <c r="J206" i="1"/>
  <c r="I206" i="1"/>
  <c r="K205" i="1"/>
  <c r="J205" i="1"/>
  <c r="I205" i="1"/>
  <c r="K204" i="1"/>
  <c r="J204" i="1"/>
  <c r="I204" i="1"/>
  <c r="K203" i="1"/>
  <c r="J203" i="1"/>
  <c r="I203" i="1"/>
  <c r="K202" i="1"/>
  <c r="J202" i="1"/>
  <c r="I202" i="1"/>
  <c r="K201" i="1"/>
  <c r="J201" i="1"/>
  <c r="I201" i="1"/>
  <c r="K200" i="1"/>
  <c r="J200" i="1"/>
  <c r="I200" i="1"/>
  <c r="K199" i="1"/>
  <c r="J199" i="1"/>
  <c r="I199" i="1"/>
  <c r="K198" i="1"/>
  <c r="J198" i="1"/>
  <c r="I198" i="1"/>
  <c r="K197" i="1"/>
  <c r="J197" i="1"/>
  <c r="I197" i="1"/>
  <c r="K196" i="1"/>
  <c r="J196" i="1"/>
  <c r="I196" i="1"/>
  <c r="K195" i="1"/>
  <c r="J195" i="1"/>
  <c r="I195" i="1"/>
  <c r="K194" i="1"/>
  <c r="J194" i="1"/>
  <c r="I194" i="1"/>
  <c r="K193" i="1"/>
  <c r="J193" i="1"/>
  <c r="I193" i="1"/>
  <c r="K192" i="1"/>
  <c r="J192" i="1"/>
  <c r="I192" i="1"/>
  <c r="K191" i="1"/>
  <c r="J191" i="1"/>
  <c r="I191" i="1"/>
  <c r="K190" i="1"/>
  <c r="J190" i="1"/>
  <c r="I190" i="1"/>
  <c r="K189" i="1"/>
  <c r="J189" i="1"/>
  <c r="I189" i="1"/>
  <c r="K188" i="1"/>
  <c r="J188" i="1"/>
  <c r="I188" i="1"/>
  <c r="K187" i="1"/>
  <c r="J187" i="1"/>
  <c r="I187" i="1"/>
  <c r="K186" i="1"/>
  <c r="J186" i="1"/>
  <c r="I186" i="1"/>
  <c r="K185" i="1"/>
  <c r="J185" i="1"/>
  <c r="I185" i="1"/>
  <c r="K184" i="1"/>
  <c r="J184" i="1"/>
  <c r="I184" i="1"/>
  <c r="K183" i="1"/>
  <c r="J183" i="1"/>
  <c r="I183" i="1"/>
  <c r="K182" i="1"/>
  <c r="J182" i="1"/>
  <c r="I182" i="1"/>
  <c r="K181" i="1"/>
  <c r="J181" i="1"/>
  <c r="I181" i="1"/>
  <c r="K180" i="1"/>
  <c r="J180" i="1"/>
  <c r="I180" i="1"/>
  <c r="K179" i="1"/>
  <c r="J179" i="1"/>
  <c r="I179" i="1"/>
  <c r="K178" i="1"/>
  <c r="J178" i="1"/>
  <c r="I178" i="1"/>
  <c r="K177" i="1"/>
  <c r="J177" i="1"/>
  <c r="I177" i="1"/>
  <c r="K176" i="1"/>
  <c r="J176" i="1"/>
  <c r="I176" i="1"/>
  <c r="K175" i="1"/>
  <c r="J175" i="1"/>
  <c r="I175" i="1"/>
  <c r="K174" i="1"/>
  <c r="J174" i="1"/>
  <c r="I174" i="1"/>
  <c r="K173" i="1"/>
  <c r="J173" i="1"/>
  <c r="I173" i="1"/>
  <c r="K172" i="1"/>
  <c r="J172" i="1"/>
  <c r="I172" i="1"/>
  <c r="K171" i="1"/>
  <c r="J171" i="1"/>
  <c r="I171" i="1"/>
  <c r="K170" i="1"/>
  <c r="J170" i="1"/>
  <c r="I170" i="1"/>
  <c r="K169" i="1"/>
  <c r="J169" i="1"/>
  <c r="I169" i="1"/>
  <c r="K168" i="1"/>
  <c r="J168" i="1"/>
  <c r="I168" i="1"/>
  <c r="K167" i="1"/>
  <c r="J167" i="1"/>
  <c r="I167" i="1"/>
  <c r="K166" i="1"/>
  <c r="J166" i="1"/>
  <c r="I166" i="1"/>
  <c r="K165" i="1"/>
  <c r="J165" i="1"/>
  <c r="I165" i="1"/>
  <c r="K164" i="1"/>
  <c r="J164" i="1"/>
  <c r="I164" i="1"/>
  <c r="K163" i="1"/>
  <c r="J163" i="1"/>
  <c r="I163" i="1"/>
  <c r="K162" i="1"/>
  <c r="J162" i="1"/>
  <c r="I162" i="1"/>
  <c r="K161" i="1"/>
  <c r="J161" i="1"/>
  <c r="I161" i="1"/>
  <c r="K160" i="1"/>
  <c r="J160" i="1"/>
  <c r="I160" i="1"/>
  <c r="K159" i="1"/>
  <c r="J159" i="1"/>
  <c r="I159" i="1"/>
  <c r="K158" i="1"/>
  <c r="J158" i="1"/>
  <c r="I158" i="1"/>
  <c r="K157" i="1"/>
  <c r="J157" i="1"/>
  <c r="I157" i="1"/>
  <c r="K156" i="1"/>
  <c r="J156" i="1"/>
  <c r="I156" i="1"/>
  <c r="K155" i="1"/>
  <c r="J155" i="1"/>
  <c r="I155" i="1"/>
  <c r="K154" i="1"/>
  <c r="J154" i="1"/>
  <c r="I154" i="1"/>
  <c r="K153" i="1"/>
  <c r="J153" i="1"/>
  <c r="I153" i="1"/>
  <c r="K152" i="1"/>
  <c r="J152" i="1"/>
  <c r="I152" i="1"/>
  <c r="K151" i="1"/>
  <c r="J151" i="1"/>
  <c r="I151" i="1"/>
  <c r="K150" i="1"/>
  <c r="J150" i="1"/>
  <c r="I150" i="1"/>
  <c r="K149" i="1"/>
  <c r="J149" i="1"/>
  <c r="I149" i="1"/>
  <c r="K148" i="1"/>
  <c r="J148" i="1"/>
  <c r="I148" i="1"/>
  <c r="K147" i="1"/>
  <c r="J147" i="1"/>
  <c r="I147" i="1"/>
  <c r="K146" i="1"/>
  <c r="J146" i="1"/>
  <c r="I146" i="1"/>
  <c r="K145" i="1"/>
  <c r="J145" i="1"/>
  <c r="I145" i="1"/>
  <c r="K144" i="1"/>
  <c r="J144" i="1"/>
  <c r="I144" i="1"/>
  <c r="K143" i="1"/>
  <c r="J143" i="1"/>
  <c r="I143" i="1"/>
  <c r="K142" i="1"/>
  <c r="J142" i="1"/>
  <c r="I142" i="1"/>
  <c r="K141" i="1"/>
  <c r="J141" i="1"/>
  <c r="I141" i="1"/>
  <c r="K140" i="1"/>
  <c r="J140" i="1"/>
  <c r="I140" i="1"/>
  <c r="K139" i="1"/>
  <c r="J139" i="1"/>
  <c r="I139" i="1"/>
  <c r="K138" i="1"/>
  <c r="J138" i="1"/>
  <c r="I138" i="1"/>
  <c r="K137" i="1"/>
  <c r="J137" i="1"/>
  <c r="I137" i="1"/>
  <c r="K136" i="1"/>
  <c r="J136" i="1"/>
  <c r="I136" i="1"/>
  <c r="K135" i="1"/>
  <c r="J135" i="1"/>
  <c r="I135" i="1"/>
  <c r="K134" i="1"/>
  <c r="J134" i="1"/>
  <c r="I134" i="1"/>
  <c r="K133" i="1"/>
  <c r="J133" i="1"/>
  <c r="I133" i="1"/>
  <c r="K132" i="1"/>
  <c r="J132" i="1"/>
  <c r="I132" i="1"/>
  <c r="K131" i="1"/>
  <c r="J131" i="1"/>
  <c r="I131" i="1"/>
  <c r="K130" i="1"/>
  <c r="J130" i="1"/>
  <c r="I130" i="1"/>
  <c r="K129" i="1"/>
  <c r="J129" i="1"/>
  <c r="I129" i="1"/>
  <c r="K128" i="1"/>
  <c r="J128" i="1"/>
  <c r="I128" i="1"/>
  <c r="K127" i="1"/>
  <c r="J127" i="1"/>
  <c r="I127" i="1"/>
  <c r="K126" i="1"/>
  <c r="J126" i="1"/>
  <c r="I126" i="1"/>
  <c r="K125" i="1"/>
  <c r="J125" i="1"/>
  <c r="I125" i="1"/>
  <c r="K124" i="1"/>
  <c r="J124" i="1"/>
  <c r="I124" i="1"/>
  <c r="K123" i="1"/>
  <c r="J123" i="1"/>
  <c r="I123" i="1"/>
  <c r="K122" i="1"/>
  <c r="J122" i="1"/>
  <c r="I122" i="1"/>
  <c r="K121" i="1"/>
  <c r="J121" i="1"/>
  <c r="I121" i="1"/>
  <c r="K120" i="1"/>
  <c r="J120" i="1"/>
  <c r="I120" i="1"/>
  <c r="K119" i="1"/>
  <c r="J119" i="1"/>
  <c r="I119" i="1"/>
  <c r="K118" i="1"/>
  <c r="J118" i="1"/>
  <c r="I118" i="1"/>
  <c r="K117" i="1"/>
  <c r="J117" i="1"/>
  <c r="I117" i="1"/>
  <c r="K116" i="1"/>
  <c r="J116" i="1"/>
  <c r="I116" i="1"/>
  <c r="K115" i="1"/>
  <c r="J115" i="1"/>
  <c r="I115" i="1"/>
  <c r="K114" i="1"/>
  <c r="J114" i="1"/>
  <c r="I114" i="1"/>
  <c r="K113" i="1"/>
  <c r="J113" i="1"/>
  <c r="I113" i="1"/>
  <c r="K112" i="1"/>
  <c r="J112" i="1"/>
  <c r="I112" i="1"/>
  <c r="K111" i="1"/>
  <c r="J111" i="1"/>
  <c r="I111" i="1"/>
  <c r="K110" i="1"/>
  <c r="J110" i="1"/>
  <c r="I110" i="1"/>
  <c r="K109" i="1"/>
  <c r="J109" i="1"/>
  <c r="I109" i="1"/>
  <c r="K108" i="1"/>
  <c r="J108" i="1"/>
  <c r="I108" i="1"/>
  <c r="K107" i="1"/>
  <c r="J107" i="1"/>
  <c r="I107" i="1"/>
  <c r="K106" i="1"/>
  <c r="J106" i="1"/>
  <c r="I106" i="1"/>
  <c r="K105" i="1"/>
  <c r="J105" i="1"/>
  <c r="I105" i="1"/>
  <c r="K104" i="1"/>
  <c r="J104" i="1"/>
  <c r="I104" i="1"/>
  <c r="K103" i="1"/>
  <c r="J103" i="1"/>
  <c r="I103" i="1"/>
  <c r="K102" i="1"/>
  <c r="J102" i="1"/>
  <c r="I102" i="1"/>
  <c r="K101" i="1"/>
  <c r="J101" i="1"/>
  <c r="I101" i="1"/>
  <c r="K100" i="1"/>
  <c r="J100" i="1"/>
  <c r="I100" i="1"/>
  <c r="K99" i="1"/>
  <c r="J99" i="1"/>
  <c r="I99" i="1"/>
  <c r="K98" i="1"/>
  <c r="J98" i="1"/>
  <c r="I98" i="1"/>
  <c r="K97" i="1"/>
  <c r="J97" i="1"/>
  <c r="I97" i="1"/>
  <c r="K96" i="1"/>
  <c r="J96" i="1"/>
  <c r="I96" i="1"/>
  <c r="K95" i="1"/>
  <c r="J95" i="1"/>
  <c r="I95" i="1"/>
  <c r="K94" i="1"/>
  <c r="J94" i="1"/>
  <c r="I94" i="1"/>
  <c r="K93" i="1"/>
  <c r="J93" i="1"/>
  <c r="I93" i="1"/>
  <c r="K92" i="1"/>
  <c r="J92" i="1"/>
  <c r="I92" i="1"/>
  <c r="K91" i="1"/>
  <c r="J91" i="1"/>
  <c r="I91" i="1"/>
  <c r="K90" i="1"/>
  <c r="J90" i="1"/>
  <c r="I90" i="1"/>
  <c r="K89" i="1"/>
  <c r="J89" i="1"/>
  <c r="I89" i="1"/>
  <c r="K88" i="1"/>
  <c r="J88" i="1"/>
  <c r="I88" i="1"/>
  <c r="K87" i="1"/>
  <c r="J87" i="1"/>
  <c r="I87" i="1"/>
  <c r="K86" i="1"/>
  <c r="J86" i="1"/>
  <c r="I86" i="1"/>
  <c r="K85" i="1"/>
  <c r="J85" i="1"/>
  <c r="I85" i="1"/>
  <c r="K84" i="1"/>
  <c r="J84" i="1"/>
  <c r="I84" i="1"/>
  <c r="K83" i="1"/>
  <c r="J83" i="1"/>
  <c r="I83" i="1"/>
  <c r="K82" i="1"/>
  <c r="J82" i="1"/>
  <c r="I82" i="1"/>
  <c r="K81" i="1"/>
  <c r="J81" i="1"/>
  <c r="I81" i="1"/>
  <c r="K80" i="1"/>
  <c r="J80" i="1"/>
  <c r="I80" i="1"/>
  <c r="K79" i="1"/>
  <c r="J79" i="1"/>
  <c r="I79" i="1"/>
  <c r="K78" i="1"/>
  <c r="J78" i="1"/>
  <c r="I78" i="1"/>
  <c r="K77" i="1"/>
  <c r="J77" i="1"/>
  <c r="I77" i="1"/>
  <c r="K76" i="1"/>
  <c r="J76" i="1"/>
  <c r="I76" i="1"/>
  <c r="K75" i="1"/>
  <c r="J75" i="1"/>
  <c r="I75" i="1"/>
  <c r="K74" i="1"/>
  <c r="J74" i="1"/>
  <c r="I74" i="1"/>
  <c r="K73" i="1"/>
  <c r="J73" i="1"/>
  <c r="I73" i="1"/>
  <c r="K72" i="1"/>
  <c r="J72" i="1"/>
  <c r="I72" i="1"/>
  <c r="K71" i="1"/>
  <c r="J71" i="1"/>
  <c r="I71" i="1"/>
  <c r="K70" i="1"/>
  <c r="J70" i="1"/>
  <c r="I70" i="1"/>
  <c r="K69" i="1"/>
  <c r="J69" i="1"/>
  <c r="I69" i="1"/>
  <c r="K68" i="1"/>
  <c r="J68" i="1"/>
  <c r="I68" i="1"/>
  <c r="K67" i="1"/>
  <c r="J67" i="1"/>
  <c r="I67" i="1"/>
  <c r="K66" i="1"/>
  <c r="J66" i="1"/>
  <c r="I66" i="1"/>
  <c r="K65" i="1"/>
  <c r="J65" i="1"/>
  <c r="I65" i="1"/>
  <c r="K64" i="1"/>
  <c r="J64" i="1"/>
  <c r="I64" i="1"/>
  <c r="K63" i="1"/>
  <c r="J63" i="1"/>
  <c r="I63" i="1"/>
  <c r="K62" i="1"/>
  <c r="J62" i="1"/>
  <c r="I62" i="1"/>
  <c r="K61" i="1"/>
  <c r="J61" i="1"/>
  <c r="I61" i="1"/>
  <c r="K60" i="1"/>
  <c r="J60" i="1"/>
  <c r="I60" i="1"/>
  <c r="K59" i="1"/>
  <c r="J59" i="1"/>
  <c r="I59" i="1"/>
  <c r="K58" i="1"/>
  <c r="J58" i="1"/>
  <c r="I58" i="1"/>
  <c r="K57" i="1"/>
  <c r="J57" i="1"/>
  <c r="I57" i="1"/>
  <c r="K56" i="1"/>
  <c r="J56" i="1"/>
  <c r="I56" i="1"/>
  <c r="K55" i="1"/>
  <c r="J55" i="1"/>
  <c r="I55" i="1"/>
  <c r="K54" i="1"/>
  <c r="J54" i="1"/>
  <c r="I54" i="1"/>
  <c r="K53" i="1"/>
  <c r="J53" i="1"/>
  <c r="I53" i="1"/>
  <c r="K52" i="1"/>
  <c r="J52" i="1"/>
  <c r="I52" i="1"/>
  <c r="K51" i="1"/>
  <c r="J51" i="1"/>
  <c r="I51" i="1"/>
  <c r="K50" i="1"/>
  <c r="J50" i="1"/>
  <c r="I50" i="1"/>
  <c r="K49" i="1"/>
  <c r="J49" i="1"/>
  <c r="I49" i="1"/>
  <c r="K48" i="1"/>
  <c r="J48" i="1"/>
  <c r="I48" i="1"/>
  <c r="K47" i="1"/>
  <c r="J47" i="1"/>
  <c r="I47" i="1"/>
  <c r="K46" i="1"/>
  <c r="J46" i="1"/>
  <c r="I46" i="1"/>
  <c r="K45" i="1"/>
  <c r="J45" i="1"/>
  <c r="I45" i="1"/>
  <c r="K44" i="1"/>
  <c r="J44" i="1"/>
  <c r="I44" i="1"/>
  <c r="K43" i="1"/>
  <c r="J43" i="1"/>
  <c r="I43" i="1"/>
  <c r="K42" i="1"/>
  <c r="J42" i="1"/>
  <c r="I42" i="1"/>
  <c r="K41" i="1"/>
  <c r="J41" i="1"/>
  <c r="I41" i="1"/>
  <c r="K40" i="1"/>
  <c r="J40" i="1"/>
  <c r="I40" i="1"/>
  <c r="K39" i="1"/>
  <c r="J39" i="1"/>
  <c r="I39" i="1"/>
  <c r="K38" i="1"/>
  <c r="J38" i="1"/>
  <c r="I38" i="1"/>
  <c r="K37" i="1"/>
  <c r="J37" i="1"/>
  <c r="I37" i="1"/>
  <c r="K36" i="1"/>
  <c r="J36" i="1"/>
  <c r="I36" i="1"/>
  <c r="K35" i="1"/>
  <c r="J35" i="1"/>
  <c r="I35" i="1"/>
  <c r="K34" i="1"/>
  <c r="J34" i="1"/>
  <c r="I34" i="1"/>
  <c r="K33" i="1"/>
  <c r="J33" i="1"/>
  <c r="I33" i="1"/>
  <c r="K32" i="1"/>
  <c r="J32" i="1"/>
  <c r="I32" i="1"/>
  <c r="K31" i="1"/>
  <c r="J31" i="1"/>
  <c r="I31" i="1"/>
  <c r="K30" i="1"/>
  <c r="J30" i="1"/>
  <c r="I30" i="1"/>
  <c r="K29" i="1"/>
  <c r="J29" i="1"/>
  <c r="I29" i="1"/>
  <c r="K28" i="1"/>
  <c r="J28" i="1"/>
  <c r="I28" i="1"/>
  <c r="K27" i="1"/>
  <c r="J27" i="1"/>
  <c r="I27" i="1"/>
  <c r="K26" i="1"/>
  <c r="J26" i="1"/>
  <c r="I26" i="1"/>
  <c r="K25" i="1"/>
  <c r="J25" i="1"/>
  <c r="I25" i="1"/>
  <c r="K24" i="1"/>
  <c r="J24" i="1"/>
  <c r="I24" i="1"/>
  <c r="K23" i="1"/>
  <c r="J23" i="1"/>
  <c r="I23" i="1"/>
  <c r="K22" i="1"/>
  <c r="J22" i="1"/>
  <c r="I22" i="1"/>
  <c r="K21" i="1"/>
  <c r="J21" i="1"/>
  <c r="I21" i="1"/>
  <c r="K20" i="1"/>
  <c r="J20" i="1"/>
  <c r="I20" i="1"/>
  <c r="K19" i="1"/>
  <c r="J19" i="1"/>
  <c r="I19" i="1"/>
  <c r="K18" i="1"/>
  <c r="J18" i="1"/>
  <c r="I18" i="1"/>
  <c r="K17" i="1"/>
  <c r="J17" i="1"/>
  <c r="I17" i="1"/>
  <c r="K16" i="1"/>
  <c r="J16" i="1"/>
  <c r="I16" i="1"/>
  <c r="K15" i="1"/>
  <c r="J15" i="1"/>
  <c r="I15" i="1"/>
  <c r="K14" i="1"/>
  <c r="J14" i="1"/>
  <c r="I14" i="1"/>
  <c r="K13" i="1"/>
  <c r="J13" i="1"/>
  <c r="I13" i="1"/>
  <c r="K12" i="1"/>
  <c r="J12" i="1"/>
  <c r="I12" i="1"/>
  <c r="K11" i="1"/>
  <c r="J11" i="1"/>
  <c r="I11" i="1"/>
  <c r="K10" i="1"/>
  <c r="J10" i="1"/>
  <c r="I10" i="1"/>
  <c r="K9" i="1"/>
  <c r="J9" i="1"/>
  <c r="I9" i="1"/>
  <c r="K8" i="1"/>
  <c r="J8" i="1"/>
  <c r="I8" i="1"/>
  <c r="K7" i="1"/>
  <c r="J7" i="1"/>
  <c r="I7" i="1"/>
  <c r="K6" i="1"/>
  <c r="J6" i="1"/>
  <c r="I6" i="1"/>
  <c r="K5" i="1"/>
  <c r="J5" i="1"/>
  <c r="I5" i="1"/>
  <c r="K4" i="1"/>
  <c r="J4" i="1"/>
  <c r="I4" i="1"/>
  <c r="K3" i="1"/>
  <c r="J3" i="1"/>
  <c r="I3" i="1"/>
  <c r="K2" i="1"/>
  <c r="J2" i="1"/>
  <c r="I2" i="1"/>
</calcChain>
</file>

<file path=xl/sharedStrings.xml><?xml version="1.0" encoding="utf-8"?>
<sst xmlns="http://schemas.openxmlformats.org/spreadsheetml/2006/main" count="4276" uniqueCount="640">
  <si>
    <t>業務人員</t>
  </si>
  <si>
    <t/>
  </si>
  <si>
    <t>下單客戶</t>
  </si>
  <si>
    <t>接單類別</t>
  </si>
  <si>
    <t>類別名稱</t>
  </si>
  <si>
    <t>訂單號碼</t>
  </si>
  <si>
    <t>客戶訂單號碼</t>
  </si>
  <si>
    <t>接單日</t>
  </si>
  <si>
    <t>生管交期</t>
  </si>
  <si>
    <t>訂單交期</t>
  </si>
  <si>
    <t>訂單金額</t>
  </si>
  <si>
    <t>未出貨金額</t>
  </si>
  <si>
    <t>幣別</t>
  </si>
  <si>
    <t>訂單重量(KG)</t>
  </si>
  <si>
    <t>出貨重量(KG)</t>
  </si>
  <si>
    <t>未出貨重量(KG)</t>
  </si>
  <si>
    <t>結案否</t>
  </si>
  <si>
    <t>出貨達成率</t>
  </si>
  <si>
    <t>GLAVE</t>
  </si>
  <si>
    <t>顏欽賢</t>
  </si>
  <si>
    <t>D09200</t>
  </si>
  <si>
    <t>NATIONAL NAIL</t>
  </si>
  <si>
    <t>S</t>
  </si>
  <si>
    <t>小螺絲</t>
  </si>
  <si>
    <t>24070002</t>
  </si>
  <si>
    <t>DECKMATE SAMPLE</t>
  </si>
  <si>
    <t>USD</t>
  </si>
  <si>
    <t>N</t>
  </si>
  <si>
    <t>GLOVE</t>
  </si>
  <si>
    <t>顏爾佑</t>
  </si>
  <si>
    <t>B03500</t>
  </si>
  <si>
    <t>SUNCO</t>
  </si>
  <si>
    <t>24020021</t>
  </si>
  <si>
    <t>SP20240220-001MT</t>
  </si>
  <si>
    <t>Y</t>
  </si>
  <si>
    <t>100%</t>
  </si>
  <si>
    <t>D01200</t>
  </si>
  <si>
    <t>INTERCORP</t>
  </si>
  <si>
    <t>24020023</t>
  </si>
  <si>
    <t>113339</t>
  </si>
  <si>
    <t>D04000</t>
  </si>
  <si>
    <t>SIMPSON</t>
  </si>
  <si>
    <t>24030017</t>
  </si>
  <si>
    <t>4000073731</t>
  </si>
  <si>
    <t>D09000</t>
  </si>
  <si>
    <t>BMD</t>
  </si>
  <si>
    <t>24020014</t>
  </si>
  <si>
    <t>2410669</t>
  </si>
  <si>
    <t>24020015</t>
  </si>
  <si>
    <t>2410670</t>
  </si>
  <si>
    <t>24020016</t>
  </si>
  <si>
    <t>2410709</t>
  </si>
  <si>
    <t>24030003</t>
  </si>
  <si>
    <t>2411037</t>
  </si>
  <si>
    <t>24090004</t>
  </si>
  <si>
    <t>2417608</t>
  </si>
  <si>
    <t>SP000000</t>
  </si>
  <si>
    <t>鴻錡興業</t>
  </si>
  <si>
    <t>23110017</t>
  </si>
  <si>
    <t>SP20231127-007MT</t>
  </si>
  <si>
    <t>C01900</t>
  </si>
  <si>
    <t>REYHER</t>
  </si>
  <si>
    <t>23060004</t>
  </si>
  <si>
    <t>3747949-457</t>
  </si>
  <si>
    <t>EUR</t>
  </si>
  <si>
    <t>23060017</t>
  </si>
  <si>
    <t>3754070-457</t>
  </si>
  <si>
    <t>23060020</t>
  </si>
  <si>
    <t>3755297-457</t>
  </si>
  <si>
    <t>23060022</t>
  </si>
  <si>
    <t>3755282-457</t>
  </si>
  <si>
    <t>23120001</t>
  </si>
  <si>
    <t>3789872-457</t>
  </si>
  <si>
    <t>24030018</t>
  </si>
  <si>
    <t>3814310-426</t>
  </si>
  <si>
    <t>C03000</t>
  </si>
  <si>
    <t>ESSVE</t>
  </si>
  <si>
    <t>23110002</t>
  </si>
  <si>
    <t>10030024490</t>
  </si>
  <si>
    <t>SEK</t>
  </si>
  <si>
    <t>C03200</t>
  </si>
  <si>
    <t>STALCO</t>
  </si>
  <si>
    <t>23120019</t>
  </si>
  <si>
    <t>C03200-20231221001</t>
  </si>
  <si>
    <t>23050018</t>
  </si>
  <si>
    <t>4000058119</t>
  </si>
  <si>
    <t>23060001</t>
  </si>
  <si>
    <t>4000059200</t>
  </si>
  <si>
    <t>23060025</t>
  </si>
  <si>
    <t>4000060736</t>
  </si>
  <si>
    <t>23060027</t>
  </si>
  <si>
    <t>4000060841</t>
  </si>
  <si>
    <t>D04001</t>
  </si>
  <si>
    <t>SIMPSON AB</t>
  </si>
  <si>
    <t>24030032</t>
  </si>
  <si>
    <t>4500337986</t>
  </si>
  <si>
    <t>D04600</t>
  </si>
  <si>
    <t>BOISE</t>
  </si>
  <si>
    <t>24020024</t>
  </si>
  <si>
    <t>GS0000008740</t>
  </si>
  <si>
    <t>24080012</t>
  </si>
  <si>
    <t>GS0000009009</t>
  </si>
  <si>
    <t>23120006</t>
  </si>
  <si>
    <t>320417</t>
  </si>
  <si>
    <t>SP000466</t>
  </si>
  <si>
    <t>蔡欣蓉</t>
  </si>
  <si>
    <t>C00600</t>
  </si>
  <si>
    <t>PGB</t>
  </si>
  <si>
    <t>W</t>
  </si>
  <si>
    <t>華司</t>
  </si>
  <si>
    <t>23110016</t>
  </si>
  <si>
    <t>4500051887</t>
  </si>
  <si>
    <t>24010007</t>
  </si>
  <si>
    <t>3796850-669</t>
  </si>
  <si>
    <t>D00700</t>
  </si>
  <si>
    <t>HUTTIG</t>
  </si>
  <si>
    <t>24010013</t>
  </si>
  <si>
    <t>4416894-00</t>
  </si>
  <si>
    <t>24010014</t>
  </si>
  <si>
    <t>3584970-00</t>
  </si>
  <si>
    <t>24010026</t>
  </si>
  <si>
    <t>4000071648</t>
  </si>
  <si>
    <t>24030021</t>
  </si>
  <si>
    <t>4000080556</t>
  </si>
  <si>
    <t>23110009</t>
  </si>
  <si>
    <t>2404669</t>
  </si>
  <si>
    <t>23110010</t>
  </si>
  <si>
    <t>2404668</t>
  </si>
  <si>
    <t>23110015</t>
  </si>
  <si>
    <t>2404885</t>
  </si>
  <si>
    <t>23120014</t>
  </si>
  <si>
    <t>2407908</t>
  </si>
  <si>
    <t>23120015</t>
  </si>
  <si>
    <t>2407911</t>
  </si>
  <si>
    <t>23120016</t>
  </si>
  <si>
    <t>2407909</t>
  </si>
  <si>
    <t>23120017</t>
  </si>
  <si>
    <t>2407910</t>
  </si>
  <si>
    <t>SP000469</t>
  </si>
  <si>
    <t>王麗麗</t>
  </si>
  <si>
    <t>23120026</t>
  </si>
  <si>
    <t>4500052842</t>
  </si>
  <si>
    <t>C03400</t>
  </si>
  <si>
    <t>INDEX</t>
  </si>
  <si>
    <t>24010011</t>
  </si>
  <si>
    <t>146.270</t>
  </si>
  <si>
    <t>24010021</t>
  </si>
  <si>
    <t>146.357</t>
  </si>
  <si>
    <t>24010025</t>
  </si>
  <si>
    <t>146.394</t>
  </si>
  <si>
    <t>24020027</t>
  </si>
  <si>
    <t>146.595</t>
  </si>
  <si>
    <t>24020028</t>
  </si>
  <si>
    <t>146.639</t>
  </si>
  <si>
    <t>24020010</t>
  </si>
  <si>
    <t>4419805-00</t>
  </si>
  <si>
    <t>23100001</t>
  </si>
  <si>
    <t>4600096044</t>
  </si>
  <si>
    <t>23100003</t>
  </si>
  <si>
    <t>4000065711</t>
  </si>
  <si>
    <t>23100019</t>
  </si>
  <si>
    <t>4000066716</t>
  </si>
  <si>
    <t>23120020</t>
  </si>
  <si>
    <t>4000069897</t>
  </si>
  <si>
    <t>24010009</t>
  </si>
  <si>
    <t>4000070432</t>
  </si>
  <si>
    <t>24030001</t>
  </si>
  <si>
    <t>4000073179</t>
  </si>
  <si>
    <t>24030015</t>
  </si>
  <si>
    <t>4000073732</t>
  </si>
  <si>
    <t>23110001</t>
  </si>
  <si>
    <t>2402856</t>
  </si>
  <si>
    <t>23120013</t>
  </si>
  <si>
    <t>2407895</t>
  </si>
  <si>
    <t>D10700</t>
  </si>
  <si>
    <t>TACOMA</t>
  </si>
  <si>
    <t>23110004</t>
  </si>
  <si>
    <t>9201118-00</t>
  </si>
  <si>
    <t>SP000643</t>
  </si>
  <si>
    <t>陳雯琪</t>
  </si>
  <si>
    <t>23120023</t>
  </si>
  <si>
    <t>4500052783</t>
  </si>
  <si>
    <t>23080003</t>
  </si>
  <si>
    <t>3765002-457</t>
  </si>
  <si>
    <t>23080012</t>
  </si>
  <si>
    <t>3767617-426</t>
  </si>
  <si>
    <t>23090001</t>
  </si>
  <si>
    <t>3770667-669</t>
  </si>
  <si>
    <t>23090002</t>
  </si>
  <si>
    <t>3771054-457</t>
  </si>
  <si>
    <t>23090007</t>
  </si>
  <si>
    <t>3773418-669</t>
  </si>
  <si>
    <t>23090010</t>
  </si>
  <si>
    <t>3773550-669</t>
  </si>
  <si>
    <t>23090011</t>
  </si>
  <si>
    <t>3773633-457</t>
  </si>
  <si>
    <t>23090015</t>
  </si>
  <si>
    <t>3774760-457</t>
  </si>
  <si>
    <t>23090016</t>
  </si>
  <si>
    <t>3774766-457</t>
  </si>
  <si>
    <t>23100002</t>
  </si>
  <si>
    <t>3777136-457</t>
  </si>
  <si>
    <t>23100004</t>
  </si>
  <si>
    <t>3778055-457</t>
  </si>
  <si>
    <t>23100005</t>
  </si>
  <si>
    <t>3778058-457</t>
  </si>
  <si>
    <t>23100006</t>
  </si>
  <si>
    <t>3778030-426</t>
  </si>
  <si>
    <t>23100007</t>
  </si>
  <si>
    <t>3778056-457</t>
  </si>
  <si>
    <t>23100010</t>
  </si>
  <si>
    <t>3779250-669</t>
  </si>
  <si>
    <t>23100011</t>
  </si>
  <si>
    <t>3779784-457</t>
  </si>
  <si>
    <t>23100016</t>
  </si>
  <si>
    <t>3781140-457</t>
  </si>
  <si>
    <t>23100017</t>
  </si>
  <si>
    <t>3780819-457</t>
  </si>
  <si>
    <t>23100018</t>
  </si>
  <si>
    <t>3781126-457</t>
  </si>
  <si>
    <t>23100020</t>
  </si>
  <si>
    <t>3782832-669</t>
  </si>
  <si>
    <t>23110013</t>
  </si>
  <si>
    <t>3785094-457</t>
  </si>
  <si>
    <t>23120003</t>
  </si>
  <si>
    <t>3790823-457</t>
  </si>
  <si>
    <t>23120004</t>
  </si>
  <si>
    <t>3790801-457</t>
  </si>
  <si>
    <t>23120007</t>
  </si>
  <si>
    <t>3792127-457</t>
  </si>
  <si>
    <t>23120010</t>
  </si>
  <si>
    <t>3792458-669</t>
  </si>
  <si>
    <t>23120012</t>
  </si>
  <si>
    <t>3792543-457</t>
  </si>
  <si>
    <t>24010012</t>
  </si>
  <si>
    <t>3799293-426</t>
  </si>
  <si>
    <t>24010019</t>
  </si>
  <si>
    <t>3800449-457</t>
  </si>
  <si>
    <t>24010020</t>
  </si>
  <si>
    <t>3799471-457</t>
  </si>
  <si>
    <t>24010022</t>
  </si>
  <si>
    <t>3800998-457</t>
  </si>
  <si>
    <t>24020004</t>
  </si>
  <si>
    <t>3803815-457</t>
  </si>
  <si>
    <t>24020005</t>
  </si>
  <si>
    <t>3803814-457</t>
  </si>
  <si>
    <t>24020008</t>
  </si>
  <si>
    <t>3803733-457</t>
  </si>
  <si>
    <t>24020011</t>
  </si>
  <si>
    <t>3804543-669</t>
  </si>
  <si>
    <t>C03300</t>
  </si>
  <si>
    <t>MAREFIX, SLU</t>
  </si>
  <si>
    <t>24010002</t>
  </si>
  <si>
    <t>231.215/DIN-7504-N SP</t>
  </si>
  <si>
    <t>24010003</t>
  </si>
  <si>
    <t>231.215/DIN-7504-K SP</t>
  </si>
  <si>
    <t>24010004</t>
  </si>
  <si>
    <t>231.215/DIN-7504-NTORX SP</t>
  </si>
  <si>
    <t>24010005</t>
  </si>
  <si>
    <t>231.215/DIN-7504-P SP</t>
  </si>
  <si>
    <t>23110005</t>
  </si>
  <si>
    <t>4784372-00</t>
  </si>
  <si>
    <t>23120008</t>
  </si>
  <si>
    <t>3584701-00</t>
  </si>
  <si>
    <t>23120009</t>
  </si>
  <si>
    <t>5428787-00</t>
  </si>
  <si>
    <t>24010015</t>
  </si>
  <si>
    <t>4500337653</t>
  </si>
  <si>
    <t>24010016</t>
  </si>
  <si>
    <t>4500337651</t>
  </si>
  <si>
    <t>23080019</t>
  </si>
  <si>
    <t>318731</t>
  </si>
  <si>
    <t>94%</t>
  </si>
  <si>
    <t>D10100</t>
  </si>
  <si>
    <t>STEEL AND WI</t>
  </si>
  <si>
    <t>23120011</t>
  </si>
  <si>
    <t>1102363</t>
  </si>
  <si>
    <t>SP000665</t>
  </si>
  <si>
    <t>謝聿淳</t>
  </si>
  <si>
    <t>23100012</t>
  </si>
  <si>
    <t>SP20231013-001MT</t>
  </si>
  <si>
    <t>23090012</t>
  </si>
  <si>
    <t>3773710-426</t>
  </si>
  <si>
    <t>23090013</t>
  </si>
  <si>
    <t>3773594-426</t>
  </si>
  <si>
    <t>23090017</t>
  </si>
  <si>
    <t>3774768-457</t>
  </si>
  <si>
    <t>23100013</t>
  </si>
  <si>
    <t>3780330-669</t>
  </si>
  <si>
    <t>23110007</t>
  </si>
  <si>
    <t>3785046-457</t>
  </si>
  <si>
    <t>23110008</t>
  </si>
  <si>
    <t>3785049-457</t>
  </si>
  <si>
    <t>23110011</t>
  </si>
  <si>
    <t>3785536-426</t>
  </si>
  <si>
    <t>23090014</t>
  </si>
  <si>
    <t>145.666</t>
  </si>
  <si>
    <t>23110003</t>
  </si>
  <si>
    <t>145.884</t>
  </si>
  <si>
    <t>23080006</t>
  </si>
  <si>
    <t>4000063027</t>
  </si>
  <si>
    <t>23080008</t>
  </si>
  <si>
    <t>4000063249</t>
  </si>
  <si>
    <t>23090020</t>
  </si>
  <si>
    <t>4000065263</t>
  </si>
  <si>
    <t>23090021</t>
  </si>
  <si>
    <t>4000065324</t>
  </si>
  <si>
    <t>23100014</t>
  </si>
  <si>
    <t>2402406</t>
  </si>
  <si>
    <t>23100015</t>
  </si>
  <si>
    <t>2402407</t>
  </si>
  <si>
    <t>23100008</t>
  </si>
  <si>
    <t>1101826</t>
  </si>
  <si>
    <t>SP000671</t>
  </si>
  <si>
    <t>顏劭仲</t>
  </si>
  <si>
    <t>A16600</t>
  </si>
  <si>
    <t>惠旺工業</t>
  </si>
  <si>
    <t>24090002</t>
  </si>
  <si>
    <t>CEMENT_SCREW_SAMPLE</t>
  </si>
  <si>
    <t>NTD</t>
  </si>
  <si>
    <t>23120025</t>
  </si>
  <si>
    <t>SP20231222-002MT</t>
  </si>
  <si>
    <t>24010023</t>
  </si>
  <si>
    <t>SP20240125-002MT</t>
  </si>
  <si>
    <t>23120024</t>
  </si>
  <si>
    <t>4500052808</t>
  </si>
  <si>
    <t>24010010</t>
  </si>
  <si>
    <t>4500053122</t>
  </si>
  <si>
    <t>24010018</t>
  </si>
  <si>
    <t>4500053408</t>
  </si>
  <si>
    <t>24030014</t>
  </si>
  <si>
    <t>4500054828</t>
  </si>
  <si>
    <t>24060003</t>
  </si>
  <si>
    <t>4500057669</t>
  </si>
  <si>
    <t>24070015</t>
  </si>
  <si>
    <t>4500058836</t>
  </si>
  <si>
    <t>23%</t>
  </si>
  <si>
    <t>24070016</t>
  </si>
  <si>
    <t>4500058863</t>
  </si>
  <si>
    <t>73%</t>
  </si>
  <si>
    <t>24080019</t>
  </si>
  <si>
    <t>4500059289</t>
  </si>
  <si>
    <t>16%</t>
  </si>
  <si>
    <t>24090011</t>
  </si>
  <si>
    <t>4500060103</t>
  </si>
  <si>
    <t>24090019</t>
  </si>
  <si>
    <t>4500060413</t>
  </si>
  <si>
    <t>23120005</t>
  </si>
  <si>
    <t>3790820-457</t>
  </si>
  <si>
    <t>23120022</t>
  </si>
  <si>
    <t>3795026-457</t>
  </si>
  <si>
    <t>24020019</t>
  </si>
  <si>
    <t>3808567-426</t>
  </si>
  <si>
    <t>24030013</t>
  </si>
  <si>
    <t>3813334-669</t>
  </si>
  <si>
    <t>24030016</t>
  </si>
  <si>
    <t>3811863-426</t>
  </si>
  <si>
    <t>24030020</t>
  </si>
  <si>
    <t>3815355-457</t>
  </si>
  <si>
    <t>24040006</t>
  </si>
  <si>
    <t>3821390-669</t>
  </si>
  <si>
    <t>24040010</t>
  </si>
  <si>
    <t>3822610-426</t>
  </si>
  <si>
    <t>24070003</t>
  </si>
  <si>
    <t>3839193-426</t>
  </si>
  <si>
    <t>24070017</t>
  </si>
  <si>
    <t>3845719-457</t>
  </si>
  <si>
    <t>23120002</t>
  </si>
  <si>
    <t>146.064</t>
  </si>
  <si>
    <t>24040007</t>
  </si>
  <si>
    <t>147.062</t>
  </si>
  <si>
    <t>24040009</t>
  </si>
  <si>
    <t>147.075</t>
  </si>
  <si>
    <t>24060008</t>
  </si>
  <si>
    <t>147.695</t>
  </si>
  <si>
    <t>24070012</t>
  </si>
  <si>
    <t>147.868</t>
  </si>
  <si>
    <t>24010001</t>
  </si>
  <si>
    <t>4920055-00</t>
  </si>
  <si>
    <t>24020012</t>
  </si>
  <si>
    <t>5429078-00</t>
  </si>
  <si>
    <t>24070019</t>
  </si>
  <si>
    <t>5542564-00</t>
  </si>
  <si>
    <t>24080023</t>
  </si>
  <si>
    <t>5429956-00</t>
  </si>
  <si>
    <t>23110006</t>
  </si>
  <si>
    <t>113034</t>
  </si>
  <si>
    <t>23120021</t>
  </si>
  <si>
    <t>113149</t>
  </si>
  <si>
    <t>24010024</t>
  </si>
  <si>
    <t>113250</t>
  </si>
  <si>
    <t>24040012</t>
  </si>
  <si>
    <t>64611-0424</t>
  </si>
  <si>
    <t>24050013</t>
  </si>
  <si>
    <t>64622-0524</t>
  </si>
  <si>
    <t>24080018</t>
  </si>
  <si>
    <t>64650-0824</t>
  </si>
  <si>
    <t>23120018</t>
  </si>
  <si>
    <t>4000069454</t>
  </si>
  <si>
    <t>24020025</t>
  </si>
  <si>
    <t>4000072789</t>
  </si>
  <si>
    <t>24020026</t>
  </si>
  <si>
    <t>4000072778</t>
  </si>
  <si>
    <t>24030026</t>
  </si>
  <si>
    <t>4000074373</t>
  </si>
  <si>
    <t>24050002</t>
  </si>
  <si>
    <t>4000076665</t>
  </si>
  <si>
    <t>24050011</t>
  </si>
  <si>
    <t>4000077070</t>
  </si>
  <si>
    <t>24070021</t>
  </si>
  <si>
    <t>4000081626</t>
  </si>
  <si>
    <t>24010006</t>
  </si>
  <si>
    <t>2409164</t>
  </si>
  <si>
    <t>24010008</t>
  </si>
  <si>
    <t>2409162</t>
  </si>
  <si>
    <t>24010017</t>
  </si>
  <si>
    <t>2409635</t>
  </si>
  <si>
    <t>24030019</t>
  </si>
  <si>
    <t>2411582</t>
  </si>
  <si>
    <t>24030028</t>
  </si>
  <si>
    <t>2411871</t>
  </si>
  <si>
    <t>24040002</t>
  </si>
  <si>
    <t>2412389</t>
  </si>
  <si>
    <t>24050001</t>
  </si>
  <si>
    <t>2413241</t>
  </si>
  <si>
    <t>24080014</t>
  </si>
  <si>
    <t>2416799</t>
  </si>
  <si>
    <t>24080015</t>
  </si>
  <si>
    <t>2416800</t>
  </si>
  <si>
    <t>24080026</t>
  </si>
  <si>
    <t>2417257</t>
  </si>
  <si>
    <t>24080027</t>
  </si>
  <si>
    <t>2417258</t>
  </si>
  <si>
    <t>24090016</t>
  </si>
  <si>
    <t>2417877</t>
  </si>
  <si>
    <t>24100001</t>
  </si>
  <si>
    <t>2418786</t>
  </si>
  <si>
    <t>23110012</t>
  </si>
  <si>
    <t>320099</t>
  </si>
  <si>
    <t>O</t>
  </si>
  <si>
    <t>其他</t>
  </si>
  <si>
    <t>24020001</t>
  </si>
  <si>
    <t>321254</t>
  </si>
  <si>
    <t>24020002</t>
  </si>
  <si>
    <t>321255</t>
  </si>
  <si>
    <t>24020003</t>
  </si>
  <si>
    <t>321256</t>
  </si>
  <si>
    <t>24020006</t>
  </si>
  <si>
    <t>321265</t>
  </si>
  <si>
    <t>24020007</t>
  </si>
  <si>
    <t>321278</t>
  </si>
  <si>
    <t>24020009</t>
  </si>
  <si>
    <t>321281</t>
  </si>
  <si>
    <t>T</t>
  </si>
  <si>
    <t>BIT</t>
  </si>
  <si>
    <t>24020013</t>
  </si>
  <si>
    <t>321522</t>
  </si>
  <si>
    <t>24020017</t>
  </si>
  <si>
    <t>321556</t>
  </si>
  <si>
    <t>24020018</t>
  </si>
  <si>
    <t>321546</t>
  </si>
  <si>
    <t>24020020</t>
  </si>
  <si>
    <t>D092-20240215001SAMPLE</t>
  </si>
  <si>
    <t>24030005</t>
  </si>
  <si>
    <t>321746</t>
  </si>
  <si>
    <t>24030006</t>
  </si>
  <si>
    <t>321747</t>
  </si>
  <si>
    <t>24030012</t>
  </si>
  <si>
    <t>D09200-20240311001-水泥</t>
  </si>
  <si>
    <t>24030022</t>
  </si>
  <si>
    <t>0322水泥板螺絲樣品</t>
  </si>
  <si>
    <t>24040013</t>
  </si>
  <si>
    <t>322604</t>
  </si>
  <si>
    <t>24050007</t>
  </si>
  <si>
    <t>322746</t>
  </si>
  <si>
    <t>24050008</t>
  </si>
  <si>
    <t>322747</t>
  </si>
  <si>
    <t>24070008</t>
  </si>
  <si>
    <t>323472</t>
  </si>
  <si>
    <t>24080010</t>
  </si>
  <si>
    <t>323655</t>
  </si>
  <si>
    <t>24090021</t>
  </si>
  <si>
    <t>D09200-20240925001</t>
  </si>
  <si>
    <t>SP000676</t>
  </si>
  <si>
    <t>陳慶薇</t>
  </si>
  <si>
    <t>24030007</t>
  </si>
  <si>
    <t>4500054378</t>
  </si>
  <si>
    <t>24030009</t>
  </si>
  <si>
    <t>4500054625</t>
  </si>
  <si>
    <t>24030002</t>
  </si>
  <si>
    <t>3810439-457</t>
  </si>
  <si>
    <t>24030008</t>
  </si>
  <si>
    <t>3811238-457</t>
  </si>
  <si>
    <t>24030011</t>
  </si>
  <si>
    <t>3811960-457</t>
  </si>
  <si>
    <t>SP000678</t>
  </si>
  <si>
    <t>蔡馨如</t>
  </si>
  <si>
    <t>24030029</t>
  </si>
  <si>
    <t>4500055280</t>
  </si>
  <si>
    <t>24040001</t>
  </si>
  <si>
    <t>4500055485</t>
  </si>
  <si>
    <t>24030025</t>
  </si>
  <si>
    <t>3816298-669</t>
  </si>
  <si>
    <t>24040004</t>
  </si>
  <si>
    <t>3820031-426</t>
  </si>
  <si>
    <t>24040005</t>
  </si>
  <si>
    <t>3820830-457</t>
  </si>
  <si>
    <t>24040008</t>
  </si>
  <si>
    <t>3822273-426</t>
  </si>
  <si>
    <t>24050003</t>
  </si>
  <si>
    <t>3826073-457</t>
  </si>
  <si>
    <t>24050004</t>
  </si>
  <si>
    <t>3826021-426</t>
  </si>
  <si>
    <t>24050012</t>
  </si>
  <si>
    <t>3827704-426</t>
  </si>
  <si>
    <t>24050017</t>
  </si>
  <si>
    <t>3829632-457</t>
  </si>
  <si>
    <t>24060001</t>
  </si>
  <si>
    <t>3833059-426</t>
  </si>
  <si>
    <t>24060002</t>
  </si>
  <si>
    <t>3833781-669</t>
  </si>
  <si>
    <t>24060004</t>
  </si>
  <si>
    <t>3835876-457</t>
  </si>
  <si>
    <t>24050015</t>
  </si>
  <si>
    <t>C03200-20240521001</t>
  </si>
  <si>
    <t>24030023</t>
  </si>
  <si>
    <t>146.840</t>
  </si>
  <si>
    <t>24060009</t>
  </si>
  <si>
    <t>147.696</t>
  </si>
  <si>
    <t>24050018</t>
  </si>
  <si>
    <t>6111845-00</t>
  </si>
  <si>
    <t>24030027</t>
  </si>
  <si>
    <t>113457</t>
  </si>
  <si>
    <t>24050020</t>
  </si>
  <si>
    <t>D01200-20240510001</t>
  </si>
  <si>
    <t>11%</t>
  </si>
  <si>
    <t>24040003</t>
  </si>
  <si>
    <t>4000075112</t>
  </si>
  <si>
    <t>24050016</t>
  </si>
  <si>
    <t>4000077786</t>
  </si>
  <si>
    <t>24030030</t>
  </si>
  <si>
    <t>322057</t>
  </si>
  <si>
    <t>24030031</t>
  </si>
  <si>
    <t>322059</t>
  </si>
  <si>
    <t>SP000680</t>
  </si>
  <si>
    <t>吳采駩</t>
  </si>
  <si>
    <t>24050021</t>
  </si>
  <si>
    <t>SP20240529-005NA</t>
  </si>
  <si>
    <t>24050005</t>
  </si>
  <si>
    <t>4500056405</t>
  </si>
  <si>
    <t>24070006</t>
  </si>
  <si>
    <t>4500058253</t>
  </si>
  <si>
    <t>36%</t>
  </si>
  <si>
    <t>24070009</t>
  </si>
  <si>
    <t>4500058353</t>
  </si>
  <si>
    <t>24080001</t>
  </si>
  <si>
    <t>4500059032</t>
  </si>
  <si>
    <t>24090009</t>
  </si>
  <si>
    <t>4500060034</t>
  </si>
  <si>
    <t>24090017</t>
  </si>
  <si>
    <t>4500060261</t>
  </si>
  <si>
    <t>C01702</t>
  </si>
  <si>
    <t>EJOT ROMANIA</t>
  </si>
  <si>
    <t>24090008</t>
  </si>
  <si>
    <t>4501201198</t>
  </si>
  <si>
    <t>24040011</t>
  </si>
  <si>
    <t>3823338-426</t>
  </si>
  <si>
    <t>24050006</t>
  </si>
  <si>
    <t>3826969-457</t>
  </si>
  <si>
    <t>24060005</t>
  </si>
  <si>
    <t>3837084-457</t>
  </si>
  <si>
    <t>24060006</t>
  </si>
  <si>
    <t>3837082-457</t>
  </si>
  <si>
    <t>24060007</t>
  </si>
  <si>
    <t>3837078-457</t>
  </si>
  <si>
    <t>24070001</t>
  </si>
  <si>
    <t>3839670-669</t>
  </si>
  <si>
    <t>24070005</t>
  </si>
  <si>
    <t>3841455-426</t>
  </si>
  <si>
    <t>24070013</t>
  </si>
  <si>
    <t>3844140-669</t>
  </si>
  <si>
    <t>24080005</t>
  </si>
  <si>
    <t>3849374-426</t>
  </si>
  <si>
    <t>24080021</t>
  </si>
  <si>
    <t>3852662-426</t>
  </si>
  <si>
    <t>24090010</t>
  </si>
  <si>
    <t>3858557-457</t>
  </si>
  <si>
    <t>24090014</t>
  </si>
  <si>
    <t>3859227-426</t>
  </si>
  <si>
    <t>24090018</t>
  </si>
  <si>
    <t>3859935-426</t>
  </si>
  <si>
    <t>24050019</t>
  </si>
  <si>
    <t>147.387</t>
  </si>
  <si>
    <t>24080006</t>
  </si>
  <si>
    <t>148.088</t>
  </si>
  <si>
    <t>C10300</t>
  </si>
  <si>
    <t>BAFA</t>
  </si>
  <si>
    <t>24070010</t>
  </si>
  <si>
    <t>210384</t>
  </si>
  <si>
    <t>24080022</t>
  </si>
  <si>
    <t>4330529-00</t>
  </si>
  <si>
    <t>24080024</t>
  </si>
  <si>
    <t>860353-00</t>
  </si>
  <si>
    <t>24080025</t>
  </si>
  <si>
    <t>3586653-00</t>
  </si>
  <si>
    <t>24050014</t>
  </si>
  <si>
    <t>64629-0524</t>
  </si>
  <si>
    <t>33%</t>
  </si>
  <si>
    <t>13%</t>
  </si>
  <si>
    <t>24070014</t>
  </si>
  <si>
    <t>64640-0724</t>
  </si>
  <si>
    <t>54%</t>
  </si>
  <si>
    <t>24050009</t>
  </si>
  <si>
    <t>4000077113</t>
  </si>
  <si>
    <t>24050010</t>
  </si>
  <si>
    <t>4000077241</t>
  </si>
  <si>
    <t>24070020</t>
  </si>
  <si>
    <t>4000081412</t>
  </si>
  <si>
    <t>24080002</t>
  </si>
  <si>
    <t>4000082122</t>
  </si>
  <si>
    <t>24060010</t>
  </si>
  <si>
    <t>2415447</t>
  </si>
  <si>
    <t>24090023</t>
  </si>
  <si>
    <t>2418225</t>
  </si>
  <si>
    <t>24080007</t>
  </si>
  <si>
    <t>323651</t>
  </si>
  <si>
    <t>24080008</t>
  </si>
  <si>
    <t>323653</t>
  </si>
  <si>
    <t>24080009</t>
  </si>
  <si>
    <t>323652</t>
  </si>
  <si>
    <t>24080011</t>
  </si>
  <si>
    <t>323654</t>
  </si>
  <si>
    <t>24090005</t>
  </si>
  <si>
    <t>324131</t>
  </si>
  <si>
    <t>24090006</t>
  </si>
  <si>
    <t>324141</t>
  </si>
  <si>
    <t>24090024</t>
  </si>
  <si>
    <t>324412</t>
  </si>
  <si>
    <t>24090025</t>
  </si>
  <si>
    <t>324413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</si>
</sst>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top"/>
    </xf>
    <xf numFmtId="14" fontId="0" fillId="0" borderId="0" xfId="0" applyNumberFormat="1" applyAlignment="1">
      <alignment horizontal="center" vertical="top"/>
    </xf>
    <xf numFmtId="4" fontId="0" fillId="0" borderId="0" xfId="0" applyNumberFormat="1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6DB3B-1432-4D26-9BB1-2C93481D3A85}">
  <dimension ref="A1:S388"/>
  <sheetViews>
    <sheetView tabSelected="1" workbookViewId="0">
      <selection activeCell="N9" sqref="N9"/>
    </sheetView>
  </sheetViews>
  <sheetFormatPr defaultColWidth="8.625" defaultRowHeight="16.5" x14ac:dyDescent="0.25"/>
  <cols>
    <col min="9" max="11" width="10.625" style="2" customWidth="1"/>
  </cols>
  <sheetData>
    <row r="1" spans="1:19" x14ac:dyDescent="0.25">
      <c r="A1" s="1" t="s">
        <v>0</v>
      </c>
      <c r="B1" s="1" t="s">
        <v>1</v>
      </c>
      <c r="C1" s="1" t="s">
        <v>2</v>
      </c>
      <c r="D1" s="1" t="s">
        <v>1</v>
      </c>
      <c r="E1" s="1" t="s">
        <v>3</v>
      </c>
      <c r="F1" s="1" t="s">
        <v>4</v>
      </c>
      <c r="G1" s="1" t="s">
        <v>5</v>
      </c>
      <c r="H1" s="1" t="s">
        <v>6</v>
      </c>
      <c r="I1" s="2" t="s">
        <v>7</v>
      </c>
      <c r="J1" s="2" t="s">
        <v>8</v>
      </c>
      <c r="K1" s="2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</row>
    <row r="2" spans="1:19" x14ac:dyDescent="0.25">
      <c r="A2" t="s">
        <v>18</v>
      </c>
      <c r="B2" t="s">
        <v>19</v>
      </c>
      <c r="C2" t="s">
        <v>20</v>
      </c>
      <c r="D2" t="s">
        <v>21</v>
      </c>
      <c r="E2" t="s">
        <v>22</v>
      </c>
      <c r="F2" t="s">
        <v>23</v>
      </c>
      <c r="G2" t="s">
        <v>24</v>
      </c>
      <c r="H2" t="s">
        <v>25</v>
      </c>
      <c r="I2" s="3">
        <f>DATEVALUE("2024/07/08 00:00:00")</f>
        <v>45481</v>
      </c>
      <c r="J2" s="3">
        <f>DATEVALUE("2024/09/02 00:00:00")</f>
        <v>45537</v>
      </c>
      <c r="K2" s="3">
        <f>DATEVALUE("2024/09/09 00:00:00")</f>
        <v>45544</v>
      </c>
      <c r="L2" s="4">
        <v>4</v>
      </c>
      <c r="M2" s="4">
        <v>4</v>
      </c>
      <c r="N2" t="s">
        <v>26</v>
      </c>
      <c r="O2" s="4">
        <v>24.2</v>
      </c>
      <c r="P2" s="4">
        <v>0</v>
      </c>
      <c r="Q2" s="4">
        <v>24.2</v>
      </c>
      <c r="R2" t="s">
        <v>27</v>
      </c>
      <c r="S2" t="s">
        <v>1</v>
      </c>
    </row>
    <row r="3" spans="1:19" x14ac:dyDescent="0.25">
      <c r="A3" t="s">
        <v>28</v>
      </c>
      <c r="B3" t="s">
        <v>29</v>
      </c>
      <c r="C3" t="s">
        <v>30</v>
      </c>
      <c r="D3" t="s">
        <v>31</v>
      </c>
      <c r="E3" t="s">
        <v>22</v>
      </c>
      <c r="F3" t="s">
        <v>23</v>
      </c>
      <c r="G3" t="s">
        <v>32</v>
      </c>
      <c r="H3" t="s">
        <v>33</v>
      </c>
      <c r="I3" s="3">
        <f>DATEVALUE("2024/02/22 00:00:00")</f>
        <v>45344</v>
      </c>
      <c r="J3" s="3">
        <f>DATEVALUE("2024/06/05 00:00:00")</f>
        <v>45448</v>
      </c>
      <c r="K3" s="3">
        <f>DATEVALUE("2024/06/12 00:00:00")</f>
        <v>45455</v>
      </c>
      <c r="L3" s="4">
        <v>1118.5999999999999</v>
      </c>
      <c r="M3" s="4">
        <v>0</v>
      </c>
      <c r="N3" t="s">
        <v>26</v>
      </c>
      <c r="O3" s="4">
        <v>293.75</v>
      </c>
      <c r="P3" s="4">
        <v>302.26</v>
      </c>
      <c r="Q3" s="4">
        <v>0</v>
      </c>
      <c r="R3" t="s">
        <v>34</v>
      </c>
      <c r="S3" t="s">
        <v>35</v>
      </c>
    </row>
    <row r="4" spans="1:19" x14ac:dyDescent="0.25">
      <c r="A4" t="s">
        <v>28</v>
      </c>
      <c r="B4" t="s">
        <v>29</v>
      </c>
      <c r="C4" t="s">
        <v>36</v>
      </c>
      <c r="D4" t="s">
        <v>37</v>
      </c>
      <c r="E4" t="s">
        <v>22</v>
      </c>
      <c r="F4" t="s">
        <v>23</v>
      </c>
      <c r="G4" t="s">
        <v>38</v>
      </c>
      <c r="H4" t="s">
        <v>39</v>
      </c>
      <c r="I4" s="3">
        <f>DATEVALUE("2024/02/23 00:00:00")</f>
        <v>45345</v>
      </c>
      <c r="J4" s="3">
        <f>DATEVALUE("2024/06/25 00:00:00")</f>
        <v>45468</v>
      </c>
      <c r="K4" s="3">
        <f>DATEVALUE("2024/06/20 00:00:00")</f>
        <v>45463</v>
      </c>
      <c r="L4" s="4">
        <v>5734.08</v>
      </c>
      <c r="M4" s="4">
        <v>0</v>
      </c>
      <c r="N4" t="s">
        <v>26</v>
      </c>
      <c r="O4" s="4">
        <v>2436.48</v>
      </c>
      <c r="P4" s="4">
        <v>2427</v>
      </c>
      <c r="Q4" s="4">
        <v>0</v>
      </c>
      <c r="R4" t="s">
        <v>34</v>
      </c>
      <c r="S4" t="s">
        <v>35</v>
      </c>
    </row>
    <row r="5" spans="1:19" x14ac:dyDescent="0.25">
      <c r="A5" t="s">
        <v>28</v>
      </c>
      <c r="B5" t="s">
        <v>29</v>
      </c>
      <c r="C5" t="s">
        <v>36</v>
      </c>
      <c r="D5" t="s">
        <v>37</v>
      </c>
      <c r="E5" t="s">
        <v>22</v>
      </c>
      <c r="F5" t="s">
        <v>23</v>
      </c>
      <c r="G5" t="s">
        <v>38</v>
      </c>
      <c r="H5" t="s">
        <v>39</v>
      </c>
      <c r="I5" s="3">
        <f>DATEVALUE("2024/02/23 00:00:00")</f>
        <v>45345</v>
      </c>
      <c r="J5" s="3">
        <f>DATEVALUE("2024/06/13 00:00:00")</f>
        <v>45456</v>
      </c>
      <c r="K5" s="3">
        <f>DATEVALUE("2024/06/20 00:00:00")</f>
        <v>45463</v>
      </c>
      <c r="L5" s="4">
        <v>36884.160000000003</v>
      </c>
      <c r="M5" s="4">
        <v>0</v>
      </c>
      <c r="N5" t="s">
        <v>26</v>
      </c>
      <c r="O5" s="4">
        <v>18326.88</v>
      </c>
      <c r="P5" s="4">
        <v>18251.43</v>
      </c>
      <c r="Q5" s="4">
        <v>0</v>
      </c>
      <c r="R5" t="s">
        <v>34</v>
      </c>
      <c r="S5" t="s">
        <v>35</v>
      </c>
    </row>
    <row r="6" spans="1:19" x14ac:dyDescent="0.25">
      <c r="A6" t="s">
        <v>28</v>
      </c>
      <c r="B6" t="s">
        <v>29</v>
      </c>
      <c r="C6" t="s">
        <v>40</v>
      </c>
      <c r="D6" t="s">
        <v>41</v>
      </c>
      <c r="E6" t="s">
        <v>22</v>
      </c>
      <c r="F6" t="s">
        <v>23</v>
      </c>
      <c r="G6" t="s">
        <v>42</v>
      </c>
      <c r="H6" t="s">
        <v>43</v>
      </c>
      <c r="I6" s="3">
        <f t="shared" ref="I6:I13" si="0">DATEVALUE("2024/03/13 00:00:00")</f>
        <v>45364</v>
      </c>
      <c r="J6" s="3">
        <f>DATEVALUE("2024/06/28 00:00:00")</f>
        <v>45471</v>
      </c>
      <c r="K6" s="3">
        <f>DATEVALUE("2024/07/05 00:00:00")</f>
        <v>45478</v>
      </c>
      <c r="L6" s="4">
        <v>7494</v>
      </c>
      <c r="M6" s="4">
        <v>7494</v>
      </c>
      <c r="N6" t="s">
        <v>26</v>
      </c>
      <c r="O6" s="4">
        <v>1620</v>
      </c>
      <c r="P6" s="4">
        <v>0</v>
      </c>
      <c r="Q6" s="4">
        <v>1620</v>
      </c>
      <c r="R6" t="s">
        <v>27</v>
      </c>
      <c r="S6" t="s">
        <v>1</v>
      </c>
    </row>
    <row r="7" spans="1:19" x14ac:dyDescent="0.25">
      <c r="A7" t="s">
        <v>28</v>
      </c>
      <c r="B7" t="s">
        <v>29</v>
      </c>
      <c r="C7" t="s">
        <v>40</v>
      </c>
      <c r="D7" t="s">
        <v>41</v>
      </c>
      <c r="E7" t="s">
        <v>22</v>
      </c>
      <c r="F7" t="s">
        <v>23</v>
      </c>
      <c r="G7" t="s">
        <v>42</v>
      </c>
      <c r="H7" t="s">
        <v>43</v>
      </c>
      <c r="I7" s="3">
        <f t="shared" si="0"/>
        <v>45364</v>
      </c>
      <c r="J7" s="3">
        <f>DATEVALUE("2024/08/16 00:00:00")</f>
        <v>45520</v>
      </c>
      <c r="K7" s="3">
        <f>DATEVALUE("2024/08/23 00:00:00")</f>
        <v>45527</v>
      </c>
      <c r="L7" s="4">
        <v>7494</v>
      </c>
      <c r="M7" s="4">
        <v>7494</v>
      </c>
      <c r="N7" t="s">
        <v>26</v>
      </c>
      <c r="O7" s="4">
        <v>1620</v>
      </c>
      <c r="P7" s="4">
        <v>0</v>
      </c>
      <c r="Q7" s="4">
        <v>1620</v>
      </c>
      <c r="R7" t="s">
        <v>27</v>
      </c>
      <c r="S7" t="s">
        <v>1</v>
      </c>
    </row>
    <row r="8" spans="1:19" x14ac:dyDescent="0.25">
      <c r="A8" t="s">
        <v>28</v>
      </c>
      <c r="B8" t="s">
        <v>29</v>
      </c>
      <c r="C8" t="s">
        <v>40</v>
      </c>
      <c r="D8" t="s">
        <v>41</v>
      </c>
      <c r="E8" t="s">
        <v>22</v>
      </c>
      <c r="F8" t="s">
        <v>23</v>
      </c>
      <c r="G8" t="s">
        <v>42</v>
      </c>
      <c r="H8" t="s">
        <v>43</v>
      </c>
      <c r="I8" s="3">
        <f t="shared" si="0"/>
        <v>45364</v>
      </c>
      <c r="J8" s="3">
        <f>DATEVALUE("2024/08/30 00:00:00")</f>
        <v>45534</v>
      </c>
      <c r="K8" s="3">
        <f>DATEVALUE("2024/09/06 00:00:00")</f>
        <v>45541</v>
      </c>
      <c r="L8" s="4">
        <v>23359.8</v>
      </c>
      <c r="M8" s="4">
        <v>0</v>
      </c>
      <c r="N8" t="s">
        <v>26</v>
      </c>
      <c r="O8" s="4">
        <v>12341.4</v>
      </c>
      <c r="P8" s="4">
        <v>11721.9</v>
      </c>
      <c r="Q8" s="4">
        <v>0</v>
      </c>
      <c r="R8" t="s">
        <v>34</v>
      </c>
      <c r="S8" t="s">
        <v>35</v>
      </c>
    </row>
    <row r="9" spans="1:19" x14ac:dyDescent="0.25">
      <c r="A9" t="s">
        <v>28</v>
      </c>
      <c r="B9" t="s">
        <v>29</v>
      </c>
      <c r="C9" t="s">
        <v>40</v>
      </c>
      <c r="D9" t="s">
        <v>41</v>
      </c>
      <c r="E9" t="s">
        <v>22</v>
      </c>
      <c r="F9" t="s">
        <v>23</v>
      </c>
      <c r="G9" t="s">
        <v>42</v>
      </c>
      <c r="H9" t="s">
        <v>43</v>
      </c>
      <c r="I9" s="3">
        <f t="shared" si="0"/>
        <v>45364</v>
      </c>
      <c r="J9" s="3">
        <f>DATEVALUE("2024/06/28 00:00:00")</f>
        <v>45471</v>
      </c>
      <c r="K9" s="3">
        <f>DATEVALUE("2024/07/05 00:00:00")</f>
        <v>45478</v>
      </c>
      <c r="L9" s="4">
        <v>6880.5</v>
      </c>
      <c r="M9" s="4">
        <v>0</v>
      </c>
      <c r="N9" t="s">
        <v>26</v>
      </c>
      <c r="O9" s="4">
        <v>1485</v>
      </c>
      <c r="P9" s="4">
        <v>1436.64</v>
      </c>
      <c r="Q9" s="4">
        <v>0</v>
      </c>
      <c r="R9" t="s">
        <v>34</v>
      </c>
      <c r="S9" t="s">
        <v>35</v>
      </c>
    </row>
    <row r="10" spans="1:19" x14ac:dyDescent="0.25">
      <c r="A10" t="s">
        <v>28</v>
      </c>
      <c r="B10" t="s">
        <v>29</v>
      </c>
      <c r="C10" t="s">
        <v>40</v>
      </c>
      <c r="D10" t="s">
        <v>41</v>
      </c>
      <c r="E10" t="s">
        <v>22</v>
      </c>
      <c r="F10" t="s">
        <v>23</v>
      </c>
      <c r="G10" t="s">
        <v>42</v>
      </c>
      <c r="H10" t="s">
        <v>43</v>
      </c>
      <c r="I10" s="3">
        <f t="shared" si="0"/>
        <v>45364</v>
      </c>
      <c r="J10" s="3">
        <f>DATEVALUE("2024/06/14 00:00:00")</f>
        <v>45457</v>
      </c>
      <c r="K10" s="3">
        <f>DATEVALUE("2024/06/21 00:00:00")</f>
        <v>45464</v>
      </c>
      <c r="L10" s="4">
        <v>15724.8</v>
      </c>
      <c r="M10" s="4">
        <v>0</v>
      </c>
      <c r="N10" t="s">
        <v>26</v>
      </c>
      <c r="O10" s="4">
        <v>8366.4</v>
      </c>
      <c r="P10" s="4">
        <v>7886.18</v>
      </c>
      <c r="Q10" s="4">
        <v>0</v>
      </c>
      <c r="R10" t="s">
        <v>34</v>
      </c>
      <c r="S10" t="s">
        <v>35</v>
      </c>
    </row>
    <row r="11" spans="1:19" x14ac:dyDescent="0.25">
      <c r="A11" t="s">
        <v>28</v>
      </c>
      <c r="B11" t="s">
        <v>29</v>
      </c>
      <c r="C11" t="s">
        <v>40</v>
      </c>
      <c r="D11" t="s">
        <v>41</v>
      </c>
      <c r="E11" t="s">
        <v>22</v>
      </c>
      <c r="F11" t="s">
        <v>23</v>
      </c>
      <c r="G11" t="s">
        <v>42</v>
      </c>
      <c r="H11" t="s">
        <v>43</v>
      </c>
      <c r="I11" s="3">
        <f t="shared" si="0"/>
        <v>45364</v>
      </c>
      <c r="J11" s="3">
        <f>DATEVALUE("2024/08/09 00:00:00")</f>
        <v>45513</v>
      </c>
      <c r="K11" s="3">
        <f>DATEVALUE("2024/08/16 00:00:00")</f>
        <v>45520</v>
      </c>
      <c r="L11" s="4">
        <v>9304.5</v>
      </c>
      <c r="M11" s="4">
        <v>0</v>
      </c>
      <c r="N11" t="s">
        <v>26</v>
      </c>
      <c r="O11" s="4">
        <v>2608.1999999999998</v>
      </c>
      <c r="P11" s="4">
        <v>2491.42</v>
      </c>
      <c r="Q11" s="4">
        <v>0</v>
      </c>
      <c r="R11" t="s">
        <v>34</v>
      </c>
      <c r="S11" t="s">
        <v>35</v>
      </c>
    </row>
    <row r="12" spans="1:19" x14ac:dyDescent="0.25">
      <c r="A12" t="s">
        <v>28</v>
      </c>
      <c r="B12" t="s">
        <v>29</v>
      </c>
      <c r="C12" t="s">
        <v>40</v>
      </c>
      <c r="D12" t="s">
        <v>41</v>
      </c>
      <c r="E12" t="s">
        <v>22</v>
      </c>
      <c r="F12" t="s">
        <v>23</v>
      </c>
      <c r="G12" t="s">
        <v>42</v>
      </c>
      <c r="H12" t="s">
        <v>43</v>
      </c>
      <c r="I12" s="3">
        <f t="shared" si="0"/>
        <v>45364</v>
      </c>
      <c r="J12" s="3">
        <f>DATEVALUE("2024/08/16 00:00:00")</f>
        <v>45520</v>
      </c>
      <c r="K12" s="3">
        <f>DATEVALUE("2024/08/23 00:00:00")</f>
        <v>45527</v>
      </c>
      <c r="L12" s="4">
        <v>15724.8</v>
      </c>
      <c r="M12" s="4">
        <v>0</v>
      </c>
      <c r="N12" t="s">
        <v>26</v>
      </c>
      <c r="O12" s="4">
        <v>8366.4</v>
      </c>
      <c r="P12" s="4">
        <v>7962.58</v>
      </c>
      <c r="Q12" s="4">
        <v>0</v>
      </c>
      <c r="R12" t="s">
        <v>34</v>
      </c>
      <c r="S12" t="s">
        <v>35</v>
      </c>
    </row>
    <row r="13" spans="1:19" x14ac:dyDescent="0.25">
      <c r="A13" t="s">
        <v>28</v>
      </c>
      <c r="B13" t="s">
        <v>29</v>
      </c>
      <c r="C13" t="s">
        <v>40</v>
      </c>
      <c r="D13" t="s">
        <v>41</v>
      </c>
      <c r="E13" t="s">
        <v>22</v>
      </c>
      <c r="F13" t="s">
        <v>23</v>
      </c>
      <c r="G13" t="s">
        <v>42</v>
      </c>
      <c r="H13" t="s">
        <v>43</v>
      </c>
      <c r="I13" s="3">
        <f t="shared" si="0"/>
        <v>45364</v>
      </c>
      <c r="J13" s="3">
        <f>DATEVALUE("2024/09/05 00:00:00")</f>
        <v>45540</v>
      </c>
      <c r="K13" s="3">
        <f>DATEVALUE("2024/09/05 00:00:00")</f>
        <v>45540</v>
      </c>
      <c r="L13" s="4">
        <v>14988</v>
      </c>
      <c r="M13" s="4">
        <v>0</v>
      </c>
      <c r="N13" t="s">
        <v>26</v>
      </c>
      <c r="O13" s="4">
        <v>3240</v>
      </c>
      <c r="P13" s="4">
        <v>3174.8</v>
      </c>
      <c r="Q13" s="4">
        <v>0</v>
      </c>
      <c r="R13" t="s">
        <v>34</v>
      </c>
      <c r="S13" t="s">
        <v>35</v>
      </c>
    </row>
    <row r="14" spans="1:19" x14ac:dyDescent="0.25">
      <c r="A14" t="s">
        <v>28</v>
      </c>
      <c r="B14" t="s">
        <v>29</v>
      </c>
      <c r="C14" t="s">
        <v>44</v>
      </c>
      <c r="D14" t="s">
        <v>45</v>
      </c>
      <c r="E14" t="s">
        <v>22</v>
      </c>
      <c r="F14" t="s">
        <v>23</v>
      </c>
      <c r="G14" t="s">
        <v>46</v>
      </c>
      <c r="H14" t="s">
        <v>47</v>
      </c>
      <c r="I14" s="3">
        <f>DATEVALUE("2024/02/21 00:00:00")</f>
        <v>45343</v>
      </c>
      <c r="J14" s="3">
        <f>DATEVALUE("2024/05/16 00:00:00")</f>
        <v>45428</v>
      </c>
      <c r="K14" s="3">
        <f>DATEVALUE("2024/05/23 00:00:00")</f>
        <v>45435</v>
      </c>
      <c r="L14" s="4">
        <v>36541.440000000002</v>
      </c>
      <c r="M14" s="4">
        <v>0</v>
      </c>
      <c r="N14" t="s">
        <v>26</v>
      </c>
      <c r="O14" s="4">
        <v>19292.16</v>
      </c>
      <c r="P14" s="4">
        <v>18769.919999999998</v>
      </c>
      <c r="Q14" s="4">
        <v>0</v>
      </c>
      <c r="R14" t="s">
        <v>34</v>
      </c>
      <c r="S14" t="s">
        <v>35</v>
      </c>
    </row>
    <row r="15" spans="1:19" x14ac:dyDescent="0.25">
      <c r="A15" t="s">
        <v>28</v>
      </c>
      <c r="B15" t="s">
        <v>29</v>
      </c>
      <c r="C15" t="s">
        <v>44</v>
      </c>
      <c r="D15" t="s">
        <v>45</v>
      </c>
      <c r="E15" t="s">
        <v>22</v>
      </c>
      <c r="F15" t="s">
        <v>23</v>
      </c>
      <c r="G15" t="s">
        <v>48</v>
      </c>
      <c r="H15" t="s">
        <v>49</v>
      </c>
      <c r="I15" s="3">
        <f>DATEVALUE("2024/02/21 00:00:00")</f>
        <v>45343</v>
      </c>
      <c r="J15" s="3">
        <f>DATEVALUE("2024/05/16 00:00:00")</f>
        <v>45428</v>
      </c>
      <c r="K15" s="3">
        <f>DATEVALUE("2024/05/23 00:00:00")</f>
        <v>45435</v>
      </c>
      <c r="L15" s="4">
        <v>36541.440000000002</v>
      </c>
      <c r="M15" s="4">
        <v>0</v>
      </c>
      <c r="N15" t="s">
        <v>26</v>
      </c>
      <c r="O15" s="4">
        <v>19292.16</v>
      </c>
      <c r="P15" s="4">
        <v>18892.8</v>
      </c>
      <c r="Q15" s="4">
        <v>0</v>
      </c>
      <c r="R15" t="s">
        <v>34</v>
      </c>
      <c r="S15" t="s">
        <v>35</v>
      </c>
    </row>
    <row r="16" spans="1:19" x14ac:dyDescent="0.25">
      <c r="A16" t="s">
        <v>28</v>
      </c>
      <c r="B16" t="s">
        <v>29</v>
      </c>
      <c r="C16" t="s">
        <v>44</v>
      </c>
      <c r="D16" t="s">
        <v>45</v>
      </c>
      <c r="E16" t="s">
        <v>22</v>
      </c>
      <c r="F16" t="s">
        <v>23</v>
      </c>
      <c r="G16" t="s">
        <v>50</v>
      </c>
      <c r="H16" t="s">
        <v>51</v>
      </c>
      <c r="I16" s="3">
        <f>DATEVALUE("2024/02/21 00:00:00")</f>
        <v>45343</v>
      </c>
      <c r="J16" s="3">
        <f>DATEVALUE("2024/05/16 00:00:00")</f>
        <v>45428</v>
      </c>
      <c r="K16" s="3">
        <f>DATEVALUE("2024/05/23 00:00:00")</f>
        <v>45435</v>
      </c>
      <c r="L16" s="4">
        <v>35744.639999999999</v>
      </c>
      <c r="M16" s="4">
        <v>0</v>
      </c>
      <c r="N16" t="s">
        <v>26</v>
      </c>
      <c r="O16" s="4">
        <v>18611.52</v>
      </c>
      <c r="P16" s="4">
        <v>17628.16</v>
      </c>
      <c r="Q16" s="4">
        <v>0</v>
      </c>
      <c r="R16" t="s">
        <v>34</v>
      </c>
      <c r="S16" t="s">
        <v>35</v>
      </c>
    </row>
    <row r="17" spans="1:19" x14ac:dyDescent="0.25">
      <c r="A17" t="s">
        <v>28</v>
      </c>
      <c r="B17" t="s">
        <v>29</v>
      </c>
      <c r="C17" t="s">
        <v>44</v>
      </c>
      <c r="D17" t="s">
        <v>45</v>
      </c>
      <c r="E17" t="s">
        <v>22</v>
      </c>
      <c r="F17" t="s">
        <v>23</v>
      </c>
      <c r="G17" t="s">
        <v>52</v>
      </c>
      <c r="H17" t="s">
        <v>53</v>
      </c>
      <c r="I17" s="3">
        <f>DATEVALUE("2024/03/04 00:00:00")</f>
        <v>45355</v>
      </c>
      <c r="J17" s="3">
        <f>DATEVALUE("2024/05/29 00:00:00")</f>
        <v>45441</v>
      </c>
      <c r="K17" s="3">
        <f>DATEVALUE("2024/06/05 00:00:00")</f>
        <v>45448</v>
      </c>
      <c r="L17" s="4">
        <v>36769.919999999998</v>
      </c>
      <c r="M17" s="4">
        <v>0</v>
      </c>
      <c r="N17" t="s">
        <v>26</v>
      </c>
      <c r="O17" s="4">
        <v>18781.439999999999</v>
      </c>
      <c r="P17" s="4">
        <v>18102.259999999998</v>
      </c>
      <c r="Q17" s="4">
        <v>0</v>
      </c>
      <c r="R17" t="s">
        <v>34</v>
      </c>
      <c r="S17" t="s">
        <v>35</v>
      </c>
    </row>
    <row r="18" spans="1:19" x14ac:dyDescent="0.25">
      <c r="A18" t="s">
        <v>28</v>
      </c>
      <c r="B18" t="s">
        <v>29</v>
      </c>
      <c r="C18" t="s">
        <v>44</v>
      </c>
      <c r="D18" t="s">
        <v>45</v>
      </c>
      <c r="E18" t="s">
        <v>22</v>
      </c>
      <c r="F18" t="s">
        <v>23</v>
      </c>
      <c r="G18" t="s">
        <v>54</v>
      </c>
      <c r="H18" t="s">
        <v>55</v>
      </c>
      <c r="I18" s="3">
        <f>DATEVALUE("2024/09/06 00:00:00")</f>
        <v>45541</v>
      </c>
      <c r="J18" s="3">
        <f>DATEVALUE("2024/11/22 00:00:00")</f>
        <v>45618</v>
      </c>
      <c r="K18" s="3">
        <f>DATEVALUE("2024/11/29 00:00:00")</f>
        <v>45625</v>
      </c>
      <c r="L18" s="4">
        <v>36003.839999999997</v>
      </c>
      <c r="M18" s="4">
        <v>36003.839999999997</v>
      </c>
      <c r="N18" t="s">
        <v>26</v>
      </c>
      <c r="O18" s="4">
        <v>19292.16</v>
      </c>
      <c r="P18" s="4">
        <v>0</v>
      </c>
      <c r="Q18" s="4">
        <v>19292.16</v>
      </c>
      <c r="R18" t="s">
        <v>27</v>
      </c>
      <c r="S18" t="s">
        <v>1</v>
      </c>
    </row>
    <row r="19" spans="1:19" x14ac:dyDescent="0.25">
      <c r="A19" t="s">
        <v>56</v>
      </c>
      <c r="B19" t="s">
        <v>57</v>
      </c>
      <c r="C19" t="s">
        <v>30</v>
      </c>
      <c r="D19" t="s">
        <v>31</v>
      </c>
      <c r="E19" t="s">
        <v>22</v>
      </c>
      <c r="F19" t="s">
        <v>23</v>
      </c>
      <c r="G19" t="s">
        <v>58</v>
      </c>
      <c r="H19" t="s">
        <v>59</v>
      </c>
      <c r="I19" s="3">
        <f>DATEVALUE("2023/11/29 00:00:00")</f>
        <v>45259</v>
      </c>
      <c r="J19" s="3">
        <f>DATEVALUE("2024/03/06 00:00:00")</f>
        <v>45357</v>
      </c>
      <c r="K19" s="3">
        <f>DATEVALUE("2024/03/13 00:00:00")</f>
        <v>45364</v>
      </c>
      <c r="L19" s="4">
        <v>2429.9499999999998</v>
      </c>
      <c r="M19" s="4">
        <v>0</v>
      </c>
      <c r="N19" t="s">
        <v>26</v>
      </c>
      <c r="O19" s="4">
        <v>607.49</v>
      </c>
      <c r="P19" s="4">
        <v>606.1</v>
      </c>
      <c r="Q19" s="4">
        <v>0</v>
      </c>
      <c r="R19" t="s">
        <v>34</v>
      </c>
      <c r="S19" t="s">
        <v>35</v>
      </c>
    </row>
    <row r="20" spans="1:19" x14ac:dyDescent="0.25">
      <c r="A20" t="s">
        <v>56</v>
      </c>
      <c r="B20" t="s">
        <v>57</v>
      </c>
      <c r="C20" t="s">
        <v>60</v>
      </c>
      <c r="D20" t="s">
        <v>61</v>
      </c>
      <c r="E20" t="s">
        <v>22</v>
      </c>
      <c r="F20" t="s">
        <v>23</v>
      </c>
      <c r="G20" t="s">
        <v>62</v>
      </c>
      <c r="H20" t="s">
        <v>63</v>
      </c>
      <c r="I20" s="3">
        <f>DATEVALUE("2023/06/06 00:00:00")</f>
        <v>45083</v>
      </c>
      <c r="J20" s="3">
        <f>DATEVALUE("2023/12/29 00:00:00")</f>
        <v>45289</v>
      </c>
      <c r="K20" s="3">
        <f>DATEVALUE("2024/01/05 00:00:00")</f>
        <v>45296</v>
      </c>
      <c r="L20" s="4">
        <v>9345.6</v>
      </c>
      <c r="M20" s="4">
        <v>0</v>
      </c>
      <c r="N20" t="s">
        <v>64</v>
      </c>
      <c r="O20" s="4">
        <v>2803.68</v>
      </c>
      <c r="P20" s="4">
        <v>2839.2</v>
      </c>
      <c r="Q20" s="4">
        <v>0</v>
      </c>
      <c r="R20" t="s">
        <v>34</v>
      </c>
      <c r="S20" t="s">
        <v>35</v>
      </c>
    </row>
    <row r="21" spans="1:19" x14ac:dyDescent="0.25">
      <c r="A21" t="s">
        <v>56</v>
      </c>
      <c r="B21" t="s">
        <v>57</v>
      </c>
      <c r="C21" t="s">
        <v>60</v>
      </c>
      <c r="D21" t="s">
        <v>61</v>
      </c>
      <c r="E21" t="s">
        <v>22</v>
      </c>
      <c r="F21" t="s">
        <v>23</v>
      </c>
      <c r="G21" t="s">
        <v>62</v>
      </c>
      <c r="H21" t="s">
        <v>63</v>
      </c>
      <c r="I21" s="3">
        <f>DATEVALUE("2023/06/06 00:00:00")</f>
        <v>45083</v>
      </c>
      <c r="J21" s="3">
        <f>DATEVALUE("2024/04/05 00:00:00")</f>
        <v>45387</v>
      </c>
      <c r="K21" s="3">
        <f>DATEVALUE("2024/04/12 00:00:00")</f>
        <v>45394</v>
      </c>
      <c r="L21" s="4">
        <v>49787.5</v>
      </c>
      <c r="M21" s="4">
        <v>0</v>
      </c>
      <c r="N21" t="s">
        <v>64</v>
      </c>
      <c r="O21" s="4">
        <v>21897.5</v>
      </c>
      <c r="P21" s="4">
        <v>22398.84</v>
      </c>
      <c r="Q21" s="4">
        <v>0</v>
      </c>
      <c r="R21" t="s">
        <v>34</v>
      </c>
      <c r="S21" t="s">
        <v>35</v>
      </c>
    </row>
    <row r="22" spans="1:19" x14ac:dyDescent="0.25">
      <c r="A22" t="s">
        <v>56</v>
      </c>
      <c r="B22" t="s">
        <v>57</v>
      </c>
      <c r="C22" t="s">
        <v>60</v>
      </c>
      <c r="D22" t="s">
        <v>61</v>
      </c>
      <c r="E22" t="s">
        <v>22</v>
      </c>
      <c r="F22" t="s">
        <v>23</v>
      </c>
      <c r="G22" t="s">
        <v>62</v>
      </c>
      <c r="H22" t="s">
        <v>63</v>
      </c>
      <c r="I22" s="3">
        <f>DATEVALUE("2023/06/06 00:00:00")</f>
        <v>45083</v>
      </c>
      <c r="J22" s="3">
        <f>DATEVALUE("2024/01/26 00:00:00")</f>
        <v>45317</v>
      </c>
      <c r="K22" s="3">
        <f>DATEVALUE("2024/02/02 00:00:00")</f>
        <v>45324</v>
      </c>
      <c r="L22" s="4">
        <v>75520.399999999994</v>
      </c>
      <c r="M22" s="4">
        <v>0</v>
      </c>
      <c r="N22" t="s">
        <v>64</v>
      </c>
      <c r="O22" s="4">
        <v>31710.2</v>
      </c>
      <c r="P22" s="4">
        <v>32459.68</v>
      </c>
      <c r="Q22" s="4">
        <v>0</v>
      </c>
      <c r="R22" t="s">
        <v>34</v>
      </c>
      <c r="S22" t="s">
        <v>35</v>
      </c>
    </row>
    <row r="23" spans="1:19" x14ac:dyDescent="0.25">
      <c r="A23" t="s">
        <v>56</v>
      </c>
      <c r="B23" t="s">
        <v>57</v>
      </c>
      <c r="C23" t="s">
        <v>60</v>
      </c>
      <c r="D23" t="s">
        <v>61</v>
      </c>
      <c r="E23" t="s">
        <v>22</v>
      </c>
      <c r="F23" t="s">
        <v>23</v>
      </c>
      <c r="G23" t="s">
        <v>62</v>
      </c>
      <c r="H23" t="s">
        <v>63</v>
      </c>
      <c r="I23" s="3">
        <f>DATEVALUE("2023/06/06 00:00:00")</f>
        <v>45083</v>
      </c>
      <c r="J23" s="3">
        <f>DATEVALUE("2024/03/01 00:00:00")</f>
        <v>45352</v>
      </c>
      <c r="K23" s="3">
        <f>DATEVALUE("2024/03/08 00:00:00")</f>
        <v>45359</v>
      </c>
      <c r="L23" s="4">
        <v>90087.5</v>
      </c>
      <c r="M23" s="4">
        <v>0</v>
      </c>
      <c r="N23" t="s">
        <v>64</v>
      </c>
      <c r="O23" s="4">
        <v>40272.5</v>
      </c>
      <c r="P23" s="4">
        <v>40743.69</v>
      </c>
      <c r="Q23" s="4">
        <v>0</v>
      </c>
      <c r="R23" t="s">
        <v>34</v>
      </c>
      <c r="S23" t="s">
        <v>35</v>
      </c>
    </row>
    <row r="24" spans="1:19" x14ac:dyDescent="0.25">
      <c r="A24" t="s">
        <v>56</v>
      </c>
      <c r="B24" t="s">
        <v>57</v>
      </c>
      <c r="C24" t="s">
        <v>60</v>
      </c>
      <c r="D24" t="s">
        <v>61</v>
      </c>
      <c r="E24" t="s">
        <v>22</v>
      </c>
      <c r="F24" t="s">
        <v>23</v>
      </c>
      <c r="G24" t="s">
        <v>65</v>
      </c>
      <c r="H24" t="s">
        <v>66</v>
      </c>
      <c r="I24" s="3">
        <f>DATEVALUE("2023/06/21 00:00:00")</f>
        <v>45098</v>
      </c>
      <c r="J24" s="3">
        <f>DATEVALUE("2023/12/29 00:00:00")</f>
        <v>45289</v>
      </c>
      <c r="K24" s="3">
        <f>DATEVALUE("2024/01/05 00:00:00")</f>
        <v>45296</v>
      </c>
      <c r="L24" s="4">
        <v>24603</v>
      </c>
      <c r="M24" s="4">
        <v>0</v>
      </c>
      <c r="N24" t="s">
        <v>64</v>
      </c>
      <c r="O24" s="4">
        <v>10695</v>
      </c>
      <c r="P24" s="4">
        <v>11096.72</v>
      </c>
      <c r="Q24" s="4">
        <v>0</v>
      </c>
      <c r="R24" t="s">
        <v>34</v>
      </c>
      <c r="S24" t="s">
        <v>35</v>
      </c>
    </row>
    <row r="25" spans="1:19" x14ac:dyDescent="0.25">
      <c r="A25" t="s">
        <v>56</v>
      </c>
      <c r="B25" t="s">
        <v>57</v>
      </c>
      <c r="C25" t="s">
        <v>60</v>
      </c>
      <c r="D25" t="s">
        <v>61</v>
      </c>
      <c r="E25" t="s">
        <v>22</v>
      </c>
      <c r="F25" t="s">
        <v>23</v>
      </c>
      <c r="G25" t="s">
        <v>67</v>
      </c>
      <c r="H25" t="s">
        <v>68</v>
      </c>
      <c r="I25" s="3">
        <f>DATEVALUE("2023/06/27 00:00:00")</f>
        <v>45104</v>
      </c>
      <c r="J25" s="3">
        <f>DATEVALUE("2023/12/29 00:00:00")</f>
        <v>45289</v>
      </c>
      <c r="K25" s="3">
        <f>DATEVALUE("2024/01/05 00:00:00")</f>
        <v>45296</v>
      </c>
      <c r="L25" s="4">
        <v>9565.32</v>
      </c>
      <c r="M25" s="4">
        <v>0</v>
      </c>
      <c r="N25" t="s">
        <v>64</v>
      </c>
      <c r="O25" s="4">
        <v>4277.3900000000003</v>
      </c>
      <c r="P25" s="4">
        <v>4436.5</v>
      </c>
      <c r="Q25" s="4">
        <v>0</v>
      </c>
      <c r="R25" t="s">
        <v>34</v>
      </c>
      <c r="S25" t="s">
        <v>35</v>
      </c>
    </row>
    <row r="26" spans="1:19" x14ac:dyDescent="0.25">
      <c r="A26" t="s">
        <v>56</v>
      </c>
      <c r="B26" t="s">
        <v>57</v>
      </c>
      <c r="C26" t="s">
        <v>60</v>
      </c>
      <c r="D26" t="s">
        <v>61</v>
      </c>
      <c r="E26" t="s">
        <v>22</v>
      </c>
      <c r="F26" t="s">
        <v>23</v>
      </c>
      <c r="G26" t="s">
        <v>67</v>
      </c>
      <c r="H26" t="s">
        <v>68</v>
      </c>
      <c r="I26" s="3">
        <f>DATEVALUE("2023/06/27 00:00:00")</f>
        <v>45104</v>
      </c>
      <c r="J26" s="3">
        <f>DATEVALUE("2023/12/15 00:00:00")</f>
        <v>45275</v>
      </c>
      <c r="K26" s="3">
        <f>DATEVALUE("2024/01/05 00:00:00")</f>
        <v>45296</v>
      </c>
      <c r="L26" s="4">
        <v>2601</v>
      </c>
      <c r="M26" s="4">
        <v>0</v>
      </c>
      <c r="N26" t="s">
        <v>64</v>
      </c>
      <c r="O26" s="4">
        <v>1114.0999999999999</v>
      </c>
      <c r="P26" s="4">
        <v>1191.68</v>
      </c>
      <c r="Q26" s="4">
        <v>0</v>
      </c>
      <c r="R26" t="s">
        <v>34</v>
      </c>
      <c r="S26" t="s">
        <v>35</v>
      </c>
    </row>
    <row r="27" spans="1:19" x14ac:dyDescent="0.25">
      <c r="A27" t="s">
        <v>56</v>
      </c>
      <c r="B27" t="s">
        <v>57</v>
      </c>
      <c r="C27" t="s">
        <v>60</v>
      </c>
      <c r="D27" t="s">
        <v>61</v>
      </c>
      <c r="E27" t="s">
        <v>22</v>
      </c>
      <c r="F27" t="s">
        <v>23</v>
      </c>
      <c r="G27" t="s">
        <v>69</v>
      </c>
      <c r="H27" t="s">
        <v>70</v>
      </c>
      <c r="I27" s="3">
        <f>DATEVALUE("2023/06/27 00:00:00")</f>
        <v>45104</v>
      </c>
      <c r="J27" s="3">
        <f>DATEVALUE("2023/12/29 00:00:00")</f>
        <v>45289</v>
      </c>
      <c r="K27" s="3">
        <f>DATEVALUE("2024/01/05 00:00:00")</f>
        <v>45296</v>
      </c>
      <c r="L27" s="4">
        <v>8645.5</v>
      </c>
      <c r="M27" s="4">
        <v>0</v>
      </c>
      <c r="N27" t="s">
        <v>64</v>
      </c>
      <c r="O27" s="4">
        <v>3015.1</v>
      </c>
      <c r="P27" s="4">
        <v>3157.84</v>
      </c>
      <c r="Q27" s="4">
        <v>0</v>
      </c>
      <c r="R27" t="s">
        <v>34</v>
      </c>
      <c r="S27" t="s">
        <v>35</v>
      </c>
    </row>
    <row r="28" spans="1:19" x14ac:dyDescent="0.25">
      <c r="A28" t="s">
        <v>56</v>
      </c>
      <c r="B28" t="s">
        <v>57</v>
      </c>
      <c r="C28" t="s">
        <v>60</v>
      </c>
      <c r="D28" t="s">
        <v>61</v>
      </c>
      <c r="E28" t="s">
        <v>22</v>
      </c>
      <c r="F28" t="s">
        <v>23</v>
      </c>
      <c r="G28" t="s">
        <v>71</v>
      </c>
      <c r="H28" t="s">
        <v>72</v>
      </c>
      <c r="I28" s="3">
        <f>DATEVALUE("2023/12/04 00:00:00")</f>
        <v>45264</v>
      </c>
      <c r="J28" s="3">
        <f>DATEVALUE("2024/07/03 00:00:00")</f>
        <v>45476</v>
      </c>
      <c r="K28" s="3">
        <f>DATEVALUE("2024/07/10 00:00:00")</f>
        <v>45483</v>
      </c>
      <c r="L28" s="4">
        <v>988.2</v>
      </c>
      <c r="M28" s="4">
        <v>0</v>
      </c>
      <c r="N28" t="s">
        <v>64</v>
      </c>
      <c r="O28" s="4">
        <v>457.5</v>
      </c>
      <c r="P28" s="4">
        <v>484</v>
      </c>
      <c r="Q28" s="4">
        <v>0</v>
      </c>
      <c r="R28" t="s">
        <v>34</v>
      </c>
      <c r="S28" t="s">
        <v>35</v>
      </c>
    </row>
    <row r="29" spans="1:19" x14ac:dyDescent="0.25">
      <c r="A29" t="s">
        <v>56</v>
      </c>
      <c r="B29" t="s">
        <v>57</v>
      </c>
      <c r="C29" t="s">
        <v>60</v>
      </c>
      <c r="D29" t="s">
        <v>61</v>
      </c>
      <c r="E29" t="s">
        <v>22</v>
      </c>
      <c r="F29" t="s">
        <v>23</v>
      </c>
      <c r="G29" t="s">
        <v>71</v>
      </c>
      <c r="H29" t="s">
        <v>72</v>
      </c>
      <c r="I29" s="3">
        <f>DATEVALUE("2023/12/04 00:00:00")</f>
        <v>45264</v>
      </c>
      <c r="J29" s="3">
        <f>DATEVALUE("2024/07/10 00:00:00")</f>
        <v>45483</v>
      </c>
      <c r="K29" s="3">
        <f>DATEVALUE("2024/07/17 00:00:00")</f>
        <v>45490</v>
      </c>
      <c r="L29" s="4">
        <v>2964.6</v>
      </c>
      <c r="M29" s="4">
        <v>0</v>
      </c>
      <c r="N29" t="s">
        <v>64</v>
      </c>
      <c r="O29" s="4">
        <v>1394.46</v>
      </c>
      <c r="P29" s="4">
        <v>1435.06</v>
      </c>
      <c r="Q29" s="4">
        <v>0</v>
      </c>
      <c r="R29" t="s">
        <v>34</v>
      </c>
      <c r="S29" t="s">
        <v>35</v>
      </c>
    </row>
    <row r="30" spans="1:19" x14ac:dyDescent="0.25">
      <c r="A30" t="s">
        <v>56</v>
      </c>
      <c r="B30" t="s">
        <v>57</v>
      </c>
      <c r="C30" t="s">
        <v>60</v>
      </c>
      <c r="D30" t="s">
        <v>61</v>
      </c>
      <c r="E30" t="s">
        <v>22</v>
      </c>
      <c r="F30" t="s">
        <v>23</v>
      </c>
      <c r="G30" t="s">
        <v>71</v>
      </c>
      <c r="H30" t="s">
        <v>72</v>
      </c>
      <c r="I30" s="3">
        <f>DATEVALUE("2023/12/04 00:00:00")</f>
        <v>45264</v>
      </c>
      <c r="J30" s="3">
        <f>DATEVALUE("2024/07/17 00:00:00")</f>
        <v>45490</v>
      </c>
      <c r="K30" s="3">
        <f>DATEVALUE("2024/07/24 00:00:00")</f>
        <v>45497</v>
      </c>
      <c r="L30" s="4">
        <v>1729.8</v>
      </c>
      <c r="M30" s="4">
        <v>0</v>
      </c>
      <c r="N30" t="s">
        <v>64</v>
      </c>
      <c r="O30" s="4">
        <v>677.76</v>
      </c>
      <c r="P30" s="4">
        <v>660.24</v>
      </c>
      <c r="Q30" s="4">
        <v>0</v>
      </c>
      <c r="R30" t="s">
        <v>34</v>
      </c>
      <c r="S30" t="s">
        <v>35</v>
      </c>
    </row>
    <row r="31" spans="1:19" x14ac:dyDescent="0.25">
      <c r="A31" t="s">
        <v>56</v>
      </c>
      <c r="B31" t="s">
        <v>57</v>
      </c>
      <c r="C31" t="s">
        <v>60</v>
      </c>
      <c r="D31" t="s">
        <v>61</v>
      </c>
      <c r="E31" t="s">
        <v>22</v>
      </c>
      <c r="F31" t="s">
        <v>23</v>
      </c>
      <c r="G31" t="s">
        <v>71</v>
      </c>
      <c r="H31" t="s">
        <v>72</v>
      </c>
      <c r="I31" s="3">
        <f>DATEVALUE("2023/12/04 00:00:00")</f>
        <v>45264</v>
      </c>
      <c r="J31" s="3">
        <f>DATEVALUE("2024/07/30 00:00:00")</f>
        <v>45503</v>
      </c>
      <c r="K31" s="3">
        <f>DATEVALUE("2024/08/07 00:00:00")</f>
        <v>45511</v>
      </c>
      <c r="L31" s="4">
        <v>4318.8</v>
      </c>
      <c r="M31" s="4">
        <v>0</v>
      </c>
      <c r="N31" t="s">
        <v>64</v>
      </c>
      <c r="O31" s="4">
        <v>2159.4</v>
      </c>
      <c r="P31" s="4">
        <v>2140.2199999999998</v>
      </c>
      <c r="Q31" s="4">
        <v>0</v>
      </c>
      <c r="R31" t="s">
        <v>34</v>
      </c>
      <c r="S31" t="s">
        <v>35</v>
      </c>
    </row>
    <row r="32" spans="1:19" x14ac:dyDescent="0.25">
      <c r="A32" t="s">
        <v>56</v>
      </c>
      <c r="B32" t="s">
        <v>57</v>
      </c>
      <c r="C32" t="s">
        <v>60</v>
      </c>
      <c r="D32" t="s">
        <v>61</v>
      </c>
      <c r="E32" t="s">
        <v>22</v>
      </c>
      <c r="F32" t="s">
        <v>23</v>
      </c>
      <c r="G32" t="s">
        <v>71</v>
      </c>
      <c r="H32" t="s">
        <v>72</v>
      </c>
      <c r="I32" s="3">
        <f>DATEVALUE("2023/12/04 00:00:00")</f>
        <v>45264</v>
      </c>
      <c r="J32" s="3">
        <f>DATEVALUE("2024/07/24 00:00:00")</f>
        <v>45497</v>
      </c>
      <c r="K32" s="3">
        <f>DATEVALUE("2024/07/31 00:00:00")</f>
        <v>45504</v>
      </c>
      <c r="L32" s="4">
        <v>10939.2</v>
      </c>
      <c r="M32" s="4">
        <v>0</v>
      </c>
      <c r="N32" t="s">
        <v>64</v>
      </c>
      <c r="O32" s="4">
        <v>5562.48</v>
      </c>
      <c r="P32" s="4">
        <v>5591.32</v>
      </c>
      <c r="Q32" s="4">
        <v>0</v>
      </c>
      <c r="R32" t="s">
        <v>34</v>
      </c>
      <c r="S32" t="s">
        <v>35</v>
      </c>
    </row>
    <row r="33" spans="1:19" x14ac:dyDescent="0.25">
      <c r="A33" t="s">
        <v>56</v>
      </c>
      <c r="B33" t="s">
        <v>57</v>
      </c>
      <c r="C33" t="s">
        <v>60</v>
      </c>
      <c r="D33" t="s">
        <v>61</v>
      </c>
      <c r="E33" t="s">
        <v>22</v>
      </c>
      <c r="F33" t="s">
        <v>23</v>
      </c>
      <c r="G33" t="s">
        <v>73</v>
      </c>
      <c r="H33" t="s">
        <v>74</v>
      </c>
      <c r="I33" s="3">
        <f>DATEVALUE("2024/03/18 00:00:00")</f>
        <v>45369</v>
      </c>
      <c r="J33" s="3">
        <f>DATEVALUE("2024/07/10 00:00:00")</f>
        <v>45483</v>
      </c>
      <c r="K33" s="3">
        <f>DATEVALUE("2024/07/10 00:00:00")</f>
        <v>45483</v>
      </c>
      <c r="L33" s="4">
        <v>468</v>
      </c>
      <c r="M33" s="4">
        <v>0</v>
      </c>
      <c r="N33" t="s">
        <v>64</v>
      </c>
      <c r="O33" s="4">
        <v>302.89999999999998</v>
      </c>
      <c r="P33" s="4">
        <v>307.74</v>
      </c>
      <c r="Q33" s="4">
        <v>0</v>
      </c>
      <c r="R33" t="s">
        <v>34</v>
      </c>
      <c r="S33" t="s">
        <v>35</v>
      </c>
    </row>
    <row r="34" spans="1:19" x14ac:dyDescent="0.25">
      <c r="A34" t="s">
        <v>56</v>
      </c>
      <c r="B34" t="s">
        <v>57</v>
      </c>
      <c r="C34" t="s">
        <v>60</v>
      </c>
      <c r="D34" t="s">
        <v>61</v>
      </c>
      <c r="E34" t="s">
        <v>22</v>
      </c>
      <c r="F34" t="s">
        <v>23</v>
      </c>
      <c r="G34" t="s">
        <v>73</v>
      </c>
      <c r="H34" t="s">
        <v>74</v>
      </c>
      <c r="I34" s="3">
        <f>DATEVALUE("2024/03/18 00:00:00")</f>
        <v>45369</v>
      </c>
      <c r="J34" s="3">
        <f>DATEVALUE("2024/07/03 00:00:00")</f>
        <v>45476</v>
      </c>
      <c r="K34" s="3">
        <f>DATEVALUE("2024/07/10 00:00:00")</f>
        <v>45483</v>
      </c>
      <c r="L34" s="4">
        <v>2154</v>
      </c>
      <c r="M34" s="4">
        <v>0</v>
      </c>
      <c r="N34" t="s">
        <v>64</v>
      </c>
      <c r="O34" s="4">
        <v>1234.8</v>
      </c>
      <c r="P34" s="4">
        <v>1239.3699999999999</v>
      </c>
      <c r="Q34" s="4">
        <v>0</v>
      </c>
      <c r="R34" t="s">
        <v>34</v>
      </c>
      <c r="S34" t="s">
        <v>35</v>
      </c>
    </row>
    <row r="35" spans="1:19" x14ac:dyDescent="0.25">
      <c r="A35" t="s">
        <v>56</v>
      </c>
      <c r="B35" t="s">
        <v>57</v>
      </c>
      <c r="C35" t="s">
        <v>75</v>
      </c>
      <c r="D35" t="s">
        <v>76</v>
      </c>
      <c r="E35" t="s">
        <v>22</v>
      </c>
      <c r="F35" t="s">
        <v>23</v>
      </c>
      <c r="G35" t="s">
        <v>77</v>
      </c>
      <c r="H35" t="s">
        <v>78</v>
      </c>
      <c r="I35" s="3">
        <f>DATEVALUE("2023/11/06 00:00:00")</f>
        <v>45236</v>
      </c>
      <c r="J35" s="3">
        <f>DATEVALUE("2024/03/01 00:00:00")</f>
        <v>45352</v>
      </c>
      <c r="K35" s="3">
        <f>DATEVALUE("2024/03/08 00:00:00")</f>
        <v>45359</v>
      </c>
      <c r="L35" s="4">
        <v>18835.740000000002</v>
      </c>
      <c r="M35" s="4">
        <v>0</v>
      </c>
      <c r="N35" t="s">
        <v>79</v>
      </c>
      <c r="O35" s="4">
        <v>557.54999999999995</v>
      </c>
      <c r="P35" s="4">
        <v>570.24</v>
      </c>
      <c r="Q35" s="4">
        <v>0</v>
      </c>
      <c r="R35" t="s">
        <v>34</v>
      </c>
      <c r="S35" t="s">
        <v>35</v>
      </c>
    </row>
    <row r="36" spans="1:19" x14ac:dyDescent="0.25">
      <c r="A36" t="s">
        <v>56</v>
      </c>
      <c r="B36" t="s">
        <v>57</v>
      </c>
      <c r="C36" t="s">
        <v>80</v>
      </c>
      <c r="D36" t="s">
        <v>81</v>
      </c>
      <c r="E36" t="s">
        <v>22</v>
      </c>
      <c r="F36" t="s">
        <v>23</v>
      </c>
      <c r="G36" t="s">
        <v>82</v>
      </c>
      <c r="H36" t="s">
        <v>83</v>
      </c>
      <c r="I36" s="3">
        <f>DATEVALUE("2023/12/21 00:00:00")</f>
        <v>45281</v>
      </c>
      <c r="J36" s="3">
        <f>DATEVALUE("2024/04/10 00:00:00")</f>
        <v>45392</v>
      </c>
      <c r="K36" s="3">
        <f>DATEVALUE("2024/04/24 00:00:00")</f>
        <v>45406</v>
      </c>
      <c r="L36" s="4">
        <v>37027.14</v>
      </c>
      <c r="M36" s="4">
        <v>0</v>
      </c>
      <c r="N36" t="s">
        <v>26</v>
      </c>
      <c r="O36" s="4">
        <v>18108.97</v>
      </c>
      <c r="P36" s="4">
        <v>16648.849999999999</v>
      </c>
      <c r="Q36" s="4">
        <v>0</v>
      </c>
      <c r="R36" t="s">
        <v>34</v>
      </c>
      <c r="S36" t="s">
        <v>35</v>
      </c>
    </row>
    <row r="37" spans="1:19" x14ac:dyDescent="0.25">
      <c r="A37" t="s">
        <v>56</v>
      </c>
      <c r="B37" t="s">
        <v>57</v>
      </c>
      <c r="C37" t="s">
        <v>40</v>
      </c>
      <c r="D37" t="s">
        <v>41</v>
      </c>
      <c r="E37" t="s">
        <v>22</v>
      </c>
      <c r="F37" t="s">
        <v>23</v>
      </c>
      <c r="G37" t="s">
        <v>84</v>
      </c>
      <c r="H37" t="s">
        <v>85</v>
      </c>
      <c r="I37" s="3">
        <f>DATEVALUE("2023/05/11 00:00:00")</f>
        <v>45057</v>
      </c>
      <c r="J37" s="3">
        <f>DATEVALUE("2023/12/22 00:00:00")</f>
        <v>45282</v>
      </c>
      <c r="K37" s="3">
        <f>DATEVALUE("2024/01/05 00:00:00")</f>
        <v>45296</v>
      </c>
      <c r="L37" s="4">
        <v>5438.4</v>
      </c>
      <c r="M37" s="4">
        <v>0</v>
      </c>
      <c r="N37" t="s">
        <v>26</v>
      </c>
      <c r="O37" s="4">
        <v>2760</v>
      </c>
      <c r="P37" s="4">
        <v>2620.8000000000002</v>
      </c>
      <c r="Q37" s="4">
        <v>0</v>
      </c>
      <c r="R37" t="s">
        <v>34</v>
      </c>
      <c r="S37" t="s">
        <v>35</v>
      </c>
    </row>
    <row r="38" spans="1:19" x14ac:dyDescent="0.25">
      <c r="A38" t="s">
        <v>56</v>
      </c>
      <c r="B38" t="s">
        <v>57</v>
      </c>
      <c r="C38" t="s">
        <v>40</v>
      </c>
      <c r="D38" t="s">
        <v>41</v>
      </c>
      <c r="E38" t="s">
        <v>22</v>
      </c>
      <c r="F38" t="s">
        <v>23</v>
      </c>
      <c r="G38" t="s">
        <v>86</v>
      </c>
      <c r="H38" t="s">
        <v>87</v>
      </c>
      <c r="I38" s="3">
        <f>DATEVALUE("2023/06/01 00:00:00")</f>
        <v>45078</v>
      </c>
      <c r="J38" s="3">
        <f>DATEVALUE("2024/03/01 00:00:00")</f>
        <v>45352</v>
      </c>
      <c r="K38" s="3">
        <f>DATEVALUE("2024/03/15 00:00:00")</f>
        <v>45366</v>
      </c>
      <c r="L38" s="4">
        <v>2496</v>
      </c>
      <c r="M38" s="4">
        <v>0</v>
      </c>
      <c r="N38" t="s">
        <v>26</v>
      </c>
      <c r="O38" s="4">
        <v>1123.2</v>
      </c>
      <c r="P38" s="4">
        <v>1070.4000000000001</v>
      </c>
      <c r="Q38" s="4">
        <v>0</v>
      </c>
      <c r="R38" t="s">
        <v>34</v>
      </c>
      <c r="S38" t="s">
        <v>35</v>
      </c>
    </row>
    <row r="39" spans="1:19" x14ac:dyDescent="0.25">
      <c r="A39" t="s">
        <v>56</v>
      </c>
      <c r="B39" t="s">
        <v>57</v>
      </c>
      <c r="C39" t="s">
        <v>40</v>
      </c>
      <c r="D39" t="s">
        <v>41</v>
      </c>
      <c r="E39" t="s">
        <v>22</v>
      </c>
      <c r="F39" t="s">
        <v>23</v>
      </c>
      <c r="G39" t="s">
        <v>88</v>
      </c>
      <c r="H39" t="s">
        <v>89</v>
      </c>
      <c r="I39" s="3">
        <f>DATEVALUE("2023/06/30 00:00:00")</f>
        <v>45107</v>
      </c>
      <c r="J39" s="3">
        <f>DATEVALUE("2024/02/16 00:00:00")</f>
        <v>45338</v>
      </c>
      <c r="K39" s="3">
        <f>DATEVALUE("2024/03/01 00:00:00")</f>
        <v>45352</v>
      </c>
      <c r="L39" s="4">
        <v>11273.6</v>
      </c>
      <c r="M39" s="4">
        <v>0</v>
      </c>
      <c r="N39" t="s">
        <v>26</v>
      </c>
      <c r="O39" s="4">
        <v>5980</v>
      </c>
      <c r="P39" s="4">
        <v>5650.8</v>
      </c>
      <c r="Q39" s="4">
        <v>0</v>
      </c>
      <c r="R39" t="s">
        <v>34</v>
      </c>
      <c r="S39" t="s">
        <v>35</v>
      </c>
    </row>
    <row r="40" spans="1:19" x14ac:dyDescent="0.25">
      <c r="A40" t="s">
        <v>56</v>
      </c>
      <c r="B40" t="s">
        <v>57</v>
      </c>
      <c r="C40" t="s">
        <v>40</v>
      </c>
      <c r="D40" t="s">
        <v>41</v>
      </c>
      <c r="E40" t="s">
        <v>22</v>
      </c>
      <c r="F40" t="s">
        <v>23</v>
      </c>
      <c r="G40" t="s">
        <v>90</v>
      </c>
      <c r="H40" t="s">
        <v>91</v>
      </c>
      <c r="I40" s="3">
        <f>DATEVALUE("2023/06/30 00:00:00")</f>
        <v>45107</v>
      </c>
      <c r="J40" s="3">
        <f>DATEVALUE("2024/01/05 00:00:00")</f>
        <v>45296</v>
      </c>
      <c r="K40" s="3">
        <f>DATEVALUE("2024/01/19 00:00:00")</f>
        <v>45310</v>
      </c>
      <c r="L40" s="4">
        <v>4996</v>
      </c>
      <c r="M40" s="4">
        <v>0</v>
      </c>
      <c r="N40" t="s">
        <v>26</v>
      </c>
      <c r="O40" s="4">
        <v>1088</v>
      </c>
      <c r="P40" s="4">
        <v>1061.18</v>
      </c>
      <c r="Q40" s="4">
        <v>0</v>
      </c>
      <c r="R40" t="s">
        <v>34</v>
      </c>
      <c r="S40" t="s">
        <v>35</v>
      </c>
    </row>
    <row r="41" spans="1:19" x14ac:dyDescent="0.25">
      <c r="A41" t="s">
        <v>56</v>
      </c>
      <c r="B41" t="s">
        <v>57</v>
      </c>
      <c r="C41" t="s">
        <v>92</v>
      </c>
      <c r="D41" t="s">
        <v>93</v>
      </c>
      <c r="E41" t="s">
        <v>22</v>
      </c>
      <c r="F41" t="s">
        <v>23</v>
      </c>
      <c r="G41" t="s">
        <v>94</v>
      </c>
      <c r="H41" t="s">
        <v>95</v>
      </c>
      <c r="I41" s="3">
        <f>DATEVALUE("2024/03/28 00:00:00")</f>
        <v>45379</v>
      </c>
      <c r="J41" s="3">
        <f>DATEVALUE("2024/06/18 00:00:00")</f>
        <v>45461</v>
      </c>
      <c r="K41" s="3">
        <f>DATEVALUE("2024/06/25 00:00:00")</f>
        <v>45468</v>
      </c>
      <c r="L41" s="4">
        <v>4753.8</v>
      </c>
      <c r="M41" s="4">
        <v>0</v>
      </c>
      <c r="N41" t="s">
        <v>26</v>
      </c>
      <c r="O41" s="4">
        <v>2086.1999999999998</v>
      </c>
      <c r="P41" s="4">
        <v>1945.98</v>
      </c>
      <c r="Q41" s="4">
        <v>0</v>
      </c>
      <c r="R41" t="s">
        <v>34</v>
      </c>
      <c r="S41" t="s">
        <v>35</v>
      </c>
    </row>
    <row r="42" spans="1:19" x14ac:dyDescent="0.25">
      <c r="A42" t="s">
        <v>56</v>
      </c>
      <c r="B42" t="s">
        <v>57</v>
      </c>
      <c r="C42" t="s">
        <v>96</v>
      </c>
      <c r="D42" t="s">
        <v>97</v>
      </c>
      <c r="E42" t="s">
        <v>22</v>
      </c>
      <c r="F42" t="s">
        <v>23</v>
      </c>
      <c r="G42" t="s">
        <v>98</v>
      </c>
      <c r="H42" t="s">
        <v>99</v>
      </c>
      <c r="I42" s="3">
        <f>DATEVALUE("2024/02/23 00:00:00")</f>
        <v>45345</v>
      </c>
      <c r="J42" s="3">
        <f>DATEVALUE("2024/05/20 00:00:00")</f>
        <v>45432</v>
      </c>
      <c r="K42" s="3">
        <f>DATEVALUE("2024/05/27 00:00:00")</f>
        <v>45439</v>
      </c>
      <c r="L42" s="4">
        <v>42071.040000000001</v>
      </c>
      <c r="M42" s="4">
        <v>0</v>
      </c>
      <c r="N42" t="s">
        <v>26</v>
      </c>
      <c r="O42" s="4">
        <v>22909.439999999999</v>
      </c>
      <c r="P42" s="4">
        <v>21546.5</v>
      </c>
      <c r="Q42" s="4">
        <v>0</v>
      </c>
      <c r="R42" t="s">
        <v>34</v>
      </c>
      <c r="S42" t="s">
        <v>35</v>
      </c>
    </row>
    <row r="43" spans="1:19" x14ac:dyDescent="0.25">
      <c r="A43" t="s">
        <v>56</v>
      </c>
      <c r="B43" t="s">
        <v>57</v>
      </c>
      <c r="C43" t="s">
        <v>96</v>
      </c>
      <c r="D43" t="s">
        <v>97</v>
      </c>
      <c r="E43" t="s">
        <v>22</v>
      </c>
      <c r="F43" t="s">
        <v>23</v>
      </c>
      <c r="G43" t="s">
        <v>100</v>
      </c>
      <c r="H43" t="s">
        <v>101</v>
      </c>
      <c r="I43" s="3">
        <f>DATEVALUE("2024/08/13 00:00:00")</f>
        <v>45517</v>
      </c>
      <c r="J43" s="3">
        <f>DATEVALUE("2024/10/23 00:00:00")</f>
        <v>45588</v>
      </c>
      <c r="K43" s="3">
        <f>DATEVALUE("2024/10/30 00:00:00")</f>
        <v>45595</v>
      </c>
      <c r="L43" s="4">
        <v>41733.120000000003</v>
      </c>
      <c r="M43" s="4">
        <v>0</v>
      </c>
      <c r="N43" t="s">
        <v>26</v>
      </c>
      <c r="O43" s="4">
        <v>22909.439999999999</v>
      </c>
      <c r="P43" s="4">
        <v>20998.03</v>
      </c>
      <c r="Q43" s="4">
        <v>0</v>
      </c>
      <c r="R43" t="s">
        <v>34</v>
      </c>
      <c r="S43" t="s">
        <v>35</v>
      </c>
    </row>
    <row r="44" spans="1:19" x14ac:dyDescent="0.25">
      <c r="A44" t="s">
        <v>56</v>
      </c>
      <c r="B44" t="s">
        <v>57</v>
      </c>
      <c r="C44" t="s">
        <v>20</v>
      </c>
      <c r="D44" t="s">
        <v>21</v>
      </c>
      <c r="E44" t="s">
        <v>22</v>
      </c>
      <c r="F44" t="s">
        <v>23</v>
      </c>
      <c r="G44" t="s">
        <v>102</v>
      </c>
      <c r="H44" t="s">
        <v>103</v>
      </c>
      <c r="I44" s="3">
        <f>DATEVALUE("2023/12/07 00:00:00")</f>
        <v>45267</v>
      </c>
      <c r="J44" s="3">
        <f>DATEVALUE("2024/01/31 00:00:00")</f>
        <v>45322</v>
      </c>
      <c r="K44" s="3">
        <f>DATEVALUE("2024/02/07 00:00:00")</f>
        <v>45329</v>
      </c>
      <c r="L44" s="4">
        <v>30302.400000000001</v>
      </c>
      <c r="M44" s="4">
        <v>0</v>
      </c>
      <c r="N44" t="s">
        <v>26</v>
      </c>
      <c r="O44" s="4">
        <v>14959.2</v>
      </c>
      <c r="P44" s="4">
        <v>14336.06</v>
      </c>
      <c r="Q44" s="4">
        <v>0</v>
      </c>
      <c r="R44" t="s">
        <v>34</v>
      </c>
      <c r="S44" t="s">
        <v>35</v>
      </c>
    </row>
    <row r="45" spans="1:19" x14ac:dyDescent="0.25">
      <c r="A45" t="s">
        <v>104</v>
      </c>
      <c r="B45" t="s">
        <v>105</v>
      </c>
      <c r="C45" t="s">
        <v>106</v>
      </c>
      <c r="D45" t="s">
        <v>107</v>
      </c>
      <c r="E45" t="s">
        <v>108</v>
      </c>
      <c r="F45" t="s">
        <v>109</v>
      </c>
      <c r="G45" t="s">
        <v>110</v>
      </c>
      <c r="H45" t="s">
        <v>111</v>
      </c>
      <c r="I45" s="3">
        <f>DATEVALUE("2023/11/21 00:00:00")</f>
        <v>45251</v>
      </c>
      <c r="J45" s="3">
        <f>DATEVALUE("2024/02/27 00:00:00")</f>
        <v>45349</v>
      </c>
      <c r="K45" s="3">
        <f>DATEVALUE("2024/03/06 00:00:00")</f>
        <v>45357</v>
      </c>
      <c r="L45" s="4">
        <v>6445.44</v>
      </c>
      <c r="M45" s="4">
        <v>0</v>
      </c>
      <c r="N45" t="s">
        <v>64</v>
      </c>
      <c r="O45" s="4">
        <v>1881.6</v>
      </c>
      <c r="P45" s="4">
        <v>1984</v>
      </c>
      <c r="Q45" s="4">
        <v>0</v>
      </c>
      <c r="R45" t="s">
        <v>34</v>
      </c>
      <c r="S45" t="s">
        <v>35</v>
      </c>
    </row>
    <row r="46" spans="1:19" x14ac:dyDescent="0.25">
      <c r="A46" t="s">
        <v>104</v>
      </c>
      <c r="B46" t="s">
        <v>105</v>
      </c>
      <c r="C46" t="s">
        <v>106</v>
      </c>
      <c r="D46" t="s">
        <v>107</v>
      </c>
      <c r="E46" t="s">
        <v>22</v>
      </c>
      <c r="F46" t="s">
        <v>23</v>
      </c>
      <c r="G46" t="s">
        <v>110</v>
      </c>
      <c r="H46" t="s">
        <v>111</v>
      </c>
      <c r="I46" s="3">
        <f>DATEVALUE("2023/11/21 00:00:00")</f>
        <v>45251</v>
      </c>
      <c r="J46" s="3">
        <f>DATEVALUE("2024/02/27 00:00:00")</f>
        <v>45349</v>
      </c>
      <c r="K46" s="3">
        <f>DATEVALUE("2024/03/06 00:00:00")</f>
        <v>45357</v>
      </c>
      <c r="L46" s="4">
        <v>99227.54</v>
      </c>
      <c r="M46" s="4">
        <v>0</v>
      </c>
      <c r="N46" t="s">
        <v>64</v>
      </c>
      <c r="O46" s="4">
        <v>50980.98</v>
      </c>
      <c r="P46" s="4">
        <v>51940.17</v>
      </c>
      <c r="Q46" s="4">
        <v>0</v>
      </c>
      <c r="R46" t="s">
        <v>34</v>
      </c>
      <c r="S46" t="s">
        <v>35</v>
      </c>
    </row>
    <row r="47" spans="1:19" x14ac:dyDescent="0.25">
      <c r="A47" t="s">
        <v>104</v>
      </c>
      <c r="B47" t="s">
        <v>105</v>
      </c>
      <c r="C47" t="s">
        <v>106</v>
      </c>
      <c r="D47" t="s">
        <v>107</v>
      </c>
      <c r="E47" t="s">
        <v>22</v>
      </c>
      <c r="F47" t="s">
        <v>23</v>
      </c>
      <c r="G47" t="s">
        <v>110</v>
      </c>
      <c r="H47" t="s">
        <v>111</v>
      </c>
      <c r="I47" s="3">
        <f>DATEVALUE("2023/11/21 00:00:00")</f>
        <v>45251</v>
      </c>
      <c r="J47" s="3">
        <f>DATEVALUE("2024/04/05 00:00:00")</f>
        <v>45387</v>
      </c>
      <c r="K47" s="3">
        <f>DATEVALUE("2024/04/12 00:00:00")</f>
        <v>45394</v>
      </c>
      <c r="L47" s="4">
        <v>2082.2399999999998</v>
      </c>
      <c r="M47" s="4">
        <v>0</v>
      </c>
      <c r="N47" t="s">
        <v>64</v>
      </c>
      <c r="O47" s="4">
        <v>950.4</v>
      </c>
      <c r="P47" s="4">
        <v>879.06</v>
      </c>
      <c r="Q47" s="4">
        <v>0</v>
      </c>
      <c r="R47" t="s">
        <v>34</v>
      </c>
      <c r="S47" t="s">
        <v>35</v>
      </c>
    </row>
    <row r="48" spans="1:19" x14ac:dyDescent="0.25">
      <c r="A48" t="s">
        <v>104</v>
      </c>
      <c r="B48" t="s">
        <v>105</v>
      </c>
      <c r="C48" t="s">
        <v>60</v>
      </c>
      <c r="D48" t="s">
        <v>61</v>
      </c>
      <c r="E48" t="s">
        <v>22</v>
      </c>
      <c r="F48" t="s">
        <v>23</v>
      </c>
      <c r="G48" t="s">
        <v>112</v>
      </c>
      <c r="H48" t="s">
        <v>113</v>
      </c>
      <c r="I48" s="3">
        <f>DATEVALUE("2024/01/09 00:00:00")</f>
        <v>45300</v>
      </c>
      <c r="J48" s="3">
        <f>DATEVALUE("2024/05/03 00:00:00")</f>
        <v>45415</v>
      </c>
      <c r="K48" s="3">
        <f>DATEVALUE("2024/05/10 00:00:00")</f>
        <v>45422</v>
      </c>
      <c r="L48" s="4">
        <v>10980</v>
      </c>
      <c r="M48" s="4">
        <v>0</v>
      </c>
      <c r="N48" t="s">
        <v>64</v>
      </c>
      <c r="O48" s="4">
        <v>5832.4</v>
      </c>
      <c r="P48" s="4">
        <v>6009.84</v>
      </c>
      <c r="Q48" s="4">
        <v>0</v>
      </c>
      <c r="R48" t="s">
        <v>34</v>
      </c>
      <c r="S48" t="s">
        <v>35</v>
      </c>
    </row>
    <row r="49" spans="1:19" x14ac:dyDescent="0.25">
      <c r="A49" t="s">
        <v>104</v>
      </c>
      <c r="B49" t="s">
        <v>105</v>
      </c>
      <c r="C49" t="s">
        <v>114</v>
      </c>
      <c r="D49" t="s">
        <v>115</v>
      </c>
      <c r="E49" t="s">
        <v>22</v>
      </c>
      <c r="F49" t="s">
        <v>23</v>
      </c>
      <c r="G49" t="s">
        <v>116</v>
      </c>
      <c r="H49" t="s">
        <v>117</v>
      </c>
      <c r="I49" s="3">
        <f>DATEVALUE("2024/01/19 00:00:00")</f>
        <v>45310</v>
      </c>
      <c r="J49" s="3">
        <f>DATEVALUE("2024/05/10 00:00:00")</f>
        <v>45422</v>
      </c>
      <c r="K49" s="3">
        <f>DATEVALUE("2024/05/17 00:00:00")</f>
        <v>45429</v>
      </c>
      <c r="L49" s="4">
        <v>57934.48</v>
      </c>
      <c r="M49" s="4">
        <v>0</v>
      </c>
      <c r="N49" t="s">
        <v>26</v>
      </c>
      <c r="O49" s="4">
        <v>22518.400000000001</v>
      </c>
      <c r="P49" s="4">
        <v>22904.3</v>
      </c>
      <c r="Q49" s="4">
        <v>0</v>
      </c>
      <c r="R49" t="s">
        <v>34</v>
      </c>
      <c r="S49" t="s">
        <v>35</v>
      </c>
    </row>
    <row r="50" spans="1:19" x14ac:dyDescent="0.25">
      <c r="A50" t="s">
        <v>104</v>
      </c>
      <c r="B50" t="s">
        <v>105</v>
      </c>
      <c r="C50" t="s">
        <v>114</v>
      </c>
      <c r="D50" t="s">
        <v>115</v>
      </c>
      <c r="E50" t="s">
        <v>22</v>
      </c>
      <c r="F50" t="s">
        <v>23</v>
      </c>
      <c r="G50" t="s">
        <v>118</v>
      </c>
      <c r="H50" t="s">
        <v>119</v>
      </c>
      <c r="I50" s="3">
        <f>DATEVALUE("2024/01/19 00:00:00")</f>
        <v>45310</v>
      </c>
      <c r="J50" s="3">
        <f>DATEVALUE("2024/05/10 00:00:00")</f>
        <v>45422</v>
      </c>
      <c r="K50" s="3">
        <f>DATEVALUE("2024/05/17 00:00:00")</f>
        <v>45429</v>
      </c>
      <c r="L50" s="4">
        <v>36125.94</v>
      </c>
      <c r="M50" s="4">
        <v>0</v>
      </c>
      <c r="N50" t="s">
        <v>26</v>
      </c>
      <c r="O50" s="4">
        <v>16177.21</v>
      </c>
      <c r="P50" s="4">
        <v>15833.42</v>
      </c>
      <c r="Q50" s="4">
        <v>0</v>
      </c>
      <c r="R50" t="s">
        <v>34</v>
      </c>
      <c r="S50" t="s">
        <v>35</v>
      </c>
    </row>
    <row r="51" spans="1:19" x14ac:dyDescent="0.25">
      <c r="A51" t="s">
        <v>104</v>
      </c>
      <c r="B51" t="s">
        <v>105</v>
      </c>
      <c r="C51" t="s">
        <v>40</v>
      </c>
      <c r="D51" t="s">
        <v>41</v>
      </c>
      <c r="E51" t="s">
        <v>22</v>
      </c>
      <c r="F51" t="s">
        <v>23</v>
      </c>
      <c r="G51" t="s">
        <v>120</v>
      </c>
      <c r="H51" t="s">
        <v>121</v>
      </c>
      <c r="I51" s="3">
        <f>DATEVALUE("2024/01/31 00:00:00")</f>
        <v>45322</v>
      </c>
      <c r="J51" s="3">
        <f>DATEVALUE("2024/07/19 00:00:00")</f>
        <v>45492</v>
      </c>
      <c r="K51" s="3">
        <f>DATEVALUE("2024/07/26 00:00:00")</f>
        <v>45499</v>
      </c>
      <c r="L51" s="4">
        <v>5203.2</v>
      </c>
      <c r="M51" s="4">
        <v>0</v>
      </c>
      <c r="N51" t="s">
        <v>26</v>
      </c>
      <c r="O51" s="4">
        <v>2760</v>
      </c>
      <c r="P51" s="4">
        <v>2589.12</v>
      </c>
      <c r="Q51" s="4">
        <v>0</v>
      </c>
      <c r="R51" t="s">
        <v>34</v>
      </c>
      <c r="S51" t="s">
        <v>35</v>
      </c>
    </row>
    <row r="52" spans="1:19" x14ac:dyDescent="0.25">
      <c r="A52" t="s">
        <v>104</v>
      </c>
      <c r="B52" t="s">
        <v>105</v>
      </c>
      <c r="C52" t="s">
        <v>40</v>
      </c>
      <c r="D52" t="s">
        <v>41</v>
      </c>
      <c r="E52" t="s">
        <v>22</v>
      </c>
      <c r="F52" t="s">
        <v>23</v>
      </c>
      <c r="G52" t="s">
        <v>120</v>
      </c>
      <c r="H52" t="s">
        <v>121</v>
      </c>
      <c r="I52" s="3">
        <f>DATEVALUE("2024/01/31 00:00:00")</f>
        <v>45322</v>
      </c>
      <c r="J52" s="3">
        <f>DATEVALUE("2024/05/17 00:00:00")</f>
        <v>45429</v>
      </c>
      <c r="K52" s="3">
        <f>DATEVALUE("2024/05/24 00:00:00")</f>
        <v>45436</v>
      </c>
      <c r="L52" s="4">
        <v>5203.2</v>
      </c>
      <c r="M52" s="4">
        <v>0</v>
      </c>
      <c r="N52" t="s">
        <v>26</v>
      </c>
      <c r="O52" s="4">
        <v>2760</v>
      </c>
      <c r="P52" s="4">
        <v>2668.8</v>
      </c>
      <c r="Q52" s="4">
        <v>0</v>
      </c>
      <c r="R52" t="s">
        <v>34</v>
      </c>
      <c r="S52" t="s">
        <v>35</v>
      </c>
    </row>
    <row r="53" spans="1:19" x14ac:dyDescent="0.25">
      <c r="A53" t="s">
        <v>104</v>
      </c>
      <c r="B53" t="s">
        <v>105</v>
      </c>
      <c r="C53" t="s">
        <v>40</v>
      </c>
      <c r="D53" t="s">
        <v>41</v>
      </c>
      <c r="E53" t="s">
        <v>22</v>
      </c>
      <c r="F53" t="s">
        <v>23</v>
      </c>
      <c r="G53" t="s">
        <v>120</v>
      </c>
      <c r="H53" t="s">
        <v>121</v>
      </c>
      <c r="I53" s="3">
        <f>DATEVALUE("2024/01/31 00:00:00")</f>
        <v>45322</v>
      </c>
      <c r="J53" s="3">
        <f>DATEVALUE("2024/06/07 00:00:00")</f>
        <v>45450</v>
      </c>
      <c r="K53" s="3">
        <f>DATEVALUE("2024/06/14 00:00:00")</f>
        <v>45457</v>
      </c>
      <c r="L53" s="4">
        <v>72519</v>
      </c>
      <c r="M53" s="4">
        <v>0</v>
      </c>
      <c r="N53" t="s">
        <v>26</v>
      </c>
      <c r="O53" s="4">
        <v>17292</v>
      </c>
      <c r="P53" s="4">
        <v>17236.34</v>
      </c>
      <c r="Q53" s="4">
        <v>0</v>
      </c>
      <c r="R53" t="s">
        <v>34</v>
      </c>
      <c r="S53" t="s">
        <v>35</v>
      </c>
    </row>
    <row r="54" spans="1:19" x14ac:dyDescent="0.25">
      <c r="A54" t="s">
        <v>104</v>
      </c>
      <c r="B54" t="s">
        <v>105</v>
      </c>
      <c r="C54" t="s">
        <v>40</v>
      </c>
      <c r="D54" t="s">
        <v>41</v>
      </c>
      <c r="E54" t="s">
        <v>22</v>
      </c>
      <c r="F54" t="s">
        <v>23</v>
      </c>
      <c r="G54" t="s">
        <v>120</v>
      </c>
      <c r="H54" t="s">
        <v>121</v>
      </c>
      <c r="I54" s="3">
        <f>DATEVALUE("2024/01/31 00:00:00")</f>
        <v>45322</v>
      </c>
      <c r="J54" s="3">
        <f>DATEVALUE("2024/05/31 00:00:00")</f>
        <v>45443</v>
      </c>
      <c r="K54" s="3">
        <f>DATEVALUE("2024/06/07 00:00:00")</f>
        <v>45450</v>
      </c>
      <c r="L54" s="4">
        <v>1432.5</v>
      </c>
      <c r="M54" s="4">
        <v>0</v>
      </c>
      <c r="N54" t="s">
        <v>26</v>
      </c>
      <c r="O54" s="4">
        <v>480</v>
      </c>
      <c r="P54" s="4">
        <v>464.94</v>
      </c>
      <c r="Q54" s="4">
        <v>0</v>
      </c>
      <c r="R54" t="s">
        <v>34</v>
      </c>
      <c r="S54" t="s">
        <v>35</v>
      </c>
    </row>
    <row r="55" spans="1:19" x14ac:dyDescent="0.25">
      <c r="A55" t="s">
        <v>104</v>
      </c>
      <c r="B55" t="s">
        <v>105</v>
      </c>
      <c r="C55" t="s">
        <v>40</v>
      </c>
      <c r="D55" t="s">
        <v>41</v>
      </c>
      <c r="E55" t="s">
        <v>22</v>
      </c>
      <c r="F55" t="s">
        <v>23</v>
      </c>
      <c r="G55" t="s">
        <v>120</v>
      </c>
      <c r="H55" t="s">
        <v>121</v>
      </c>
      <c r="I55" s="3">
        <f>DATEVALUE("2024/01/31 00:00:00")</f>
        <v>45322</v>
      </c>
      <c r="J55" s="3">
        <f>DATEVALUE("2024/04/19 00:00:00")</f>
        <v>45401</v>
      </c>
      <c r="K55" s="3">
        <f>DATEVALUE("2024/04/26 00:00:00")</f>
        <v>45408</v>
      </c>
      <c r="L55" s="4">
        <v>1717.2</v>
      </c>
      <c r="M55" s="4">
        <v>0</v>
      </c>
      <c r="N55" t="s">
        <v>26</v>
      </c>
      <c r="O55" s="4">
        <v>459</v>
      </c>
      <c r="P55" s="4">
        <v>385.5</v>
      </c>
      <c r="Q55" s="4">
        <v>0</v>
      </c>
      <c r="R55" t="s">
        <v>34</v>
      </c>
      <c r="S55" t="s">
        <v>35</v>
      </c>
    </row>
    <row r="56" spans="1:19" x14ac:dyDescent="0.25">
      <c r="A56" t="s">
        <v>104</v>
      </c>
      <c r="B56" t="s">
        <v>105</v>
      </c>
      <c r="C56" t="s">
        <v>40</v>
      </c>
      <c r="D56" t="s">
        <v>41</v>
      </c>
      <c r="E56" t="s">
        <v>22</v>
      </c>
      <c r="F56" t="s">
        <v>23</v>
      </c>
      <c r="G56" t="s">
        <v>122</v>
      </c>
      <c r="H56" t="s">
        <v>123</v>
      </c>
      <c r="I56" s="3">
        <f>DATEVALUE("2024/03/21 00:00:00")</f>
        <v>45372</v>
      </c>
      <c r="J56" s="3">
        <f>DATEVALUE("2024/07/11 00:00:00")</f>
        <v>45484</v>
      </c>
      <c r="K56" s="3">
        <f>DATEVALUE("2024/07/18 00:00:00")</f>
        <v>45491</v>
      </c>
      <c r="L56" s="4">
        <v>9315</v>
      </c>
      <c r="M56" s="4">
        <v>0</v>
      </c>
      <c r="N56" t="s">
        <v>26</v>
      </c>
      <c r="O56" s="4">
        <v>1785</v>
      </c>
      <c r="P56" s="4">
        <v>1605.18</v>
      </c>
      <c r="Q56" s="4">
        <v>0</v>
      </c>
      <c r="R56" t="s">
        <v>34</v>
      </c>
      <c r="S56" t="s">
        <v>35</v>
      </c>
    </row>
    <row r="57" spans="1:19" x14ac:dyDescent="0.25">
      <c r="A57" t="s">
        <v>104</v>
      </c>
      <c r="B57" t="s">
        <v>105</v>
      </c>
      <c r="C57" t="s">
        <v>44</v>
      </c>
      <c r="D57" t="s">
        <v>45</v>
      </c>
      <c r="E57" t="s">
        <v>22</v>
      </c>
      <c r="F57" t="s">
        <v>23</v>
      </c>
      <c r="G57" t="s">
        <v>124</v>
      </c>
      <c r="H57" t="s">
        <v>125</v>
      </c>
      <c r="I57" s="3">
        <f>DATEVALUE("2023/11/13 00:00:00")</f>
        <v>45243</v>
      </c>
      <c r="J57" s="3">
        <f>DATEVALUE("2024/01/22 00:00:00")</f>
        <v>45313</v>
      </c>
      <c r="K57" s="3">
        <f>DATEVALUE("2024/02/01 00:00:00")</f>
        <v>45323</v>
      </c>
      <c r="L57" s="4">
        <v>36464.639999999999</v>
      </c>
      <c r="M57" s="4">
        <v>0</v>
      </c>
      <c r="N57" t="s">
        <v>26</v>
      </c>
      <c r="O57" s="4">
        <v>19292.16</v>
      </c>
      <c r="P57" s="4">
        <v>18524.16</v>
      </c>
      <c r="Q57" s="4">
        <v>0</v>
      </c>
      <c r="R57" t="s">
        <v>34</v>
      </c>
      <c r="S57" t="s">
        <v>35</v>
      </c>
    </row>
    <row r="58" spans="1:19" x14ac:dyDescent="0.25">
      <c r="A58" t="s">
        <v>104</v>
      </c>
      <c r="B58" t="s">
        <v>105</v>
      </c>
      <c r="C58" t="s">
        <v>44</v>
      </c>
      <c r="D58" t="s">
        <v>45</v>
      </c>
      <c r="E58" t="s">
        <v>22</v>
      </c>
      <c r="F58" t="s">
        <v>23</v>
      </c>
      <c r="G58" t="s">
        <v>126</v>
      </c>
      <c r="H58" t="s">
        <v>127</v>
      </c>
      <c r="I58" s="3">
        <f>DATEVALUE("2023/11/13 00:00:00")</f>
        <v>45243</v>
      </c>
      <c r="J58" s="3">
        <f>DATEVALUE("2024/01/22 00:00:00")</f>
        <v>45313</v>
      </c>
      <c r="K58" s="3">
        <f>DATEVALUE("2024/02/01 00:00:00")</f>
        <v>45323</v>
      </c>
      <c r="L58" s="4">
        <v>36464.639999999999</v>
      </c>
      <c r="M58" s="4">
        <v>0</v>
      </c>
      <c r="N58" t="s">
        <v>26</v>
      </c>
      <c r="O58" s="4">
        <v>19292.16</v>
      </c>
      <c r="P58" s="4">
        <v>18339.84</v>
      </c>
      <c r="Q58" s="4">
        <v>0</v>
      </c>
      <c r="R58" t="s">
        <v>34</v>
      </c>
      <c r="S58" t="s">
        <v>35</v>
      </c>
    </row>
    <row r="59" spans="1:19" x14ac:dyDescent="0.25">
      <c r="A59" t="s">
        <v>104</v>
      </c>
      <c r="B59" t="s">
        <v>105</v>
      </c>
      <c r="C59" t="s">
        <v>44</v>
      </c>
      <c r="D59" t="s">
        <v>45</v>
      </c>
      <c r="E59" t="s">
        <v>22</v>
      </c>
      <c r="F59" t="s">
        <v>23</v>
      </c>
      <c r="G59" t="s">
        <v>128</v>
      </c>
      <c r="H59" t="s">
        <v>129</v>
      </c>
      <c r="I59" s="3">
        <f>DATEVALUE("2023/11/17 00:00:00")</f>
        <v>45247</v>
      </c>
      <c r="J59" s="3">
        <f>DATEVALUE("2024/02/21 00:00:00")</f>
        <v>45343</v>
      </c>
      <c r="K59" s="3">
        <f>DATEVALUE("2024/03/08 00:00:00")</f>
        <v>45359</v>
      </c>
      <c r="L59" s="4">
        <v>40293.120000000003</v>
      </c>
      <c r="M59" s="4">
        <v>0</v>
      </c>
      <c r="N59" t="s">
        <v>26</v>
      </c>
      <c r="O59" s="4">
        <v>17797.439999999999</v>
      </c>
      <c r="P59" s="4">
        <v>16400.099999999999</v>
      </c>
      <c r="Q59" s="4">
        <v>0</v>
      </c>
      <c r="R59" t="s">
        <v>34</v>
      </c>
      <c r="S59" t="s">
        <v>35</v>
      </c>
    </row>
    <row r="60" spans="1:19" x14ac:dyDescent="0.25">
      <c r="A60" t="s">
        <v>104</v>
      </c>
      <c r="B60" t="s">
        <v>105</v>
      </c>
      <c r="C60" t="s">
        <v>44</v>
      </c>
      <c r="D60" t="s">
        <v>45</v>
      </c>
      <c r="E60" t="s">
        <v>22</v>
      </c>
      <c r="F60" t="s">
        <v>23</v>
      </c>
      <c r="G60" t="s">
        <v>130</v>
      </c>
      <c r="H60" t="s">
        <v>131</v>
      </c>
      <c r="I60" s="3">
        <f>DATEVALUE("2023/12/15 00:00:00")</f>
        <v>45275</v>
      </c>
      <c r="J60" s="3">
        <f>DATEVALUE("2024/03/15 00:00:00")</f>
        <v>45366</v>
      </c>
      <c r="K60" s="3">
        <f>DATEVALUE("2024/04/01 00:00:00")</f>
        <v>45383</v>
      </c>
      <c r="L60" s="4">
        <v>34685.760000000002</v>
      </c>
      <c r="M60" s="4">
        <v>0</v>
      </c>
      <c r="N60" t="s">
        <v>26</v>
      </c>
      <c r="O60" s="4">
        <v>17680.560000000001</v>
      </c>
      <c r="P60" s="4">
        <v>16896.57</v>
      </c>
      <c r="Q60" s="4">
        <v>0</v>
      </c>
      <c r="R60" t="s">
        <v>34</v>
      </c>
      <c r="S60" t="s">
        <v>35</v>
      </c>
    </row>
    <row r="61" spans="1:19" x14ac:dyDescent="0.25">
      <c r="A61" t="s">
        <v>104</v>
      </c>
      <c r="B61" t="s">
        <v>105</v>
      </c>
      <c r="C61" t="s">
        <v>44</v>
      </c>
      <c r="D61" t="s">
        <v>45</v>
      </c>
      <c r="E61" t="s">
        <v>22</v>
      </c>
      <c r="F61" t="s">
        <v>23</v>
      </c>
      <c r="G61" t="s">
        <v>132</v>
      </c>
      <c r="H61" t="s">
        <v>133</v>
      </c>
      <c r="I61" s="3">
        <f>DATEVALUE("2023/12/15 00:00:00")</f>
        <v>45275</v>
      </c>
      <c r="J61" s="3">
        <f>DATEVALUE("2024/03/15 00:00:00")</f>
        <v>45366</v>
      </c>
      <c r="K61" s="3">
        <f>DATEVALUE("2024/04/01 00:00:00")</f>
        <v>45383</v>
      </c>
      <c r="L61" s="4">
        <v>34984.800000000003</v>
      </c>
      <c r="M61" s="4">
        <v>0</v>
      </c>
      <c r="N61" t="s">
        <v>26</v>
      </c>
      <c r="O61" s="4">
        <v>17741.28</v>
      </c>
      <c r="P61" s="4">
        <v>16713.89</v>
      </c>
      <c r="Q61" s="4">
        <v>0</v>
      </c>
      <c r="R61" t="s">
        <v>34</v>
      </c>
      <c r="S61" t="s">
        <v>35</v>
      </c>
    </row>
    <row r="62" spans="1:19" x14ac:dyDescent="0.25">
      <c r="A62" t="s">
        <v>104</v>
      </c>
      <c r="B62" t="s">
        <v>105</v>
      </c>
      <c r="C62" t="s">
        <v>44</v>
      </c>
      <c r="D62" t="s">
        <v>45</v>
      </c>
      <c r="E62" t="s">
        <v>22</v>
      </c>
      <c r="F62" t="s">
        <v>23</v>
      </c>
      <c r="G62" t="s">
        <v>134</v>
      </c>
      <c r="H62" t="s">
        <v>135</v>
      </c>
      <c r="I62" s="3">
        <f>DATEVALUE("2023/12/15 00:00:00")</f>
        <v>45275</v>
      </c>
      <c r="J62" s="3">
        <f>DATEVALUE("2024/03/15 00:00:00")</f>
        <v>45366</v>
      </c>
      <c r="K62" s="3">
        <f>DATEVALUE("2024/04/01 00:00:00")</f>
        <v>45383</v>
      </c>
      <c r="L62" s="4">
        <v>18508.62</v>
      </c>
      <c r="M62" s="4">
        <v>0</v>
      </c>
      <c r="N62" t="s">
        <v>26</v>
      </c>
      <c r="O62" s="4">
        <v>9771.68</v>
      </c>
      <c r="P62" s="4">
        <v>9172.35</v>
      </c>
      <c r="Q62" s="4">
        <v>0</v>
      </c>
      <c r="R62" t="s">
        <v>34</v>
      </c>
      <c r="S62" t="s">
        <v>35</v>
      </c>
    </row>
    <row r="63" spans="1:19" x14ac:dyDescent="0.25">
      <c r="A63" t="s">
        <v>104</v>
      </c>
      <c r="B63" t="s">
        <v>105</v>
      </c>
      <c r="C63" t="s">
        <v>44</v>
      </c>
      <c r="D63" t="s">
        <v>45</v>
      </c>
      <c r="E63" t="s">
        <v>22</v>
      </c>
      <c r="F63" t="s">
        <v>23</v>
      </c>
      <c r="G63" t="s">
        <v>136</v>
      </c>
      <c r="H63" t="s">
        <v>137</v>
      </c>
      <c r="I63" s="3">
        <f>DATEVALUE("2023/12/15 00:00:00")</f>
        <v>45275</v>
      </c>
      <c r="J63" s="3">
        <f>DATEVALUE("2024/03/15 00:00:00")</f>
        <v>45366</v>
      </c>
      <c r="K63" s="3">
        <f>DATEVALUE("2024/04/01 00:00:00")</f>
        <v>45383</v>
      </c>
      <c r="L63" s="4">
        <v>18508.62</v>
      </c>
      <c r="M63" s="4">
        <v>0</v>
      </c>
      <c r="N63" t="s">
        <v>26</v>
      </c>
      <c r="O63" s="4">
        <v>9771.68</v>
      </c>
      <c r="P63" s="4">
        <v>9070.08</v>
      </c>
      <c r="Q63" s="4">
        <v>0</v>
      </c>
      <c r="R63" t="s">
        <v>34</v>
      </c>
      <c r="S63" t="s">
        <v>35</v>
      </c>
    </row>
    <row r="64" spans="1:19" x14ac:dyDescent="0.25">
      <c r="A64" t="s">
        <v>138</v>
      </c>
      <c r="B64" t="s">
        <v>139</v>
      </c>
      <c r="C64" t="s">
        <v>106</v>
      </c>
      <c r="D64" t="s">
        <v>107</v>
      </c>
      <c r="E64" t="s">
        <v>22</v>
      </c>
      <c r="F64" t="s">
        <v>23</v>
      </c>
      <c r="G64" t="s">
        <v>140</v>
      </c>
      <c r="H64" t="s">
        <v>141</v>
      </c>
      <c r="I64" s="3">
        <f>DATEVALUE("2023/12/27 00:00:00")</f>
        <v>45287</v>
      </c>
      <c r="J64" s="3">
        <f>DATEVALUE("2024/04/15 00:00:00")</f>
        <v>45397</v>
      </c>
      <c r="K64" s="3">
        <f>DATEVALUE("2024/04/26 00:00:00")</f>
        <v>45408</v>
      </c>
      <c r="L64" s="4">
        <v>108238.32</v>
      </c>
      <c r="M64" s="4">
        <v>0</v>
      </c>
      <c r="N64" t="s">
        <v>64</v>
      </c>
      <c r="O64" s="4">
        <v>59468.34</v>
      </c>
      <c r="P64" s="4">
        <v>60811.76</v>
      </c>
      <c r="Q64" s="4">
        <v>0</v>
      </c>
      <c r="R64" t="s">
        <v>34</v>
      </c>
      <c r="S64" t="s">
        <v>35</v>
      </c>
    </row>
    <row r="65" spans="1:19" x14ac:dyDescent="0.25">
      <c r="A65" t="s">
        <v>138</v>
      </c>
      <c r="B65" t="s">
        <v>139</v>
      </c>
      <c r="C65" t="s">
        <v>142</v>
      </c>
      <c r="D65" t="s">
        <v>143</v>
      </c>
      <c r="E65" t="s">
        <v>22</v>
      </c>
      <c r="F65" t="s">
        <v>23</v>
      </c>
      <c r="G65" t="s">
        <v>144</v>
      </c>
      <c r="H65" t="s">
        <v>145</v>
      </c>
      <c r="I65" s="3">
        <f>DATEVALUE("2024/01/16 00:00:00")</f>
        <v>45307</v>
      </c>
      <c r="J65" s="3">
        <f>DATEVALUE("2024/05/02 00:00:00")</f>
        <v>45414</v>
      </c>
      <c r="K65" s="3">
        <f>DATEVALUE("2024/05/14 00:00:00")</f>
        <v>45426</v>
      </c>
      <c r="L65" s="4">
        <v>42484.3</v>
      </c>
      <c r="M65" s="4">
        <v>0</v>
      </c>
      <c r="N65" t="s">
        <v>26</v>
      </c>
      <c r="O65" s="4">
        <v>21693.4</v>
      </c>
      <c r="P65" s="4">
        <v>21337.95</v>
      </c>
      <c r="Q65" s="4">
        <v>0</v>
      </c>
      <c r="R65" t="s">
        <v>34</v>
      </c>
      <c r="S65" t="s">
        <v>35</v>
      </c>
    </row>
    <row r="66" spans="1:19" x14ac:dyDescent="0.25">
      <c r="A66" t="s">
        <v>138</v>
      </c>
      <c r="B66" t="s">
        <v>139</v>
      </c>
      <c r="C66" t="s">
        <v>142</v>
      </c>
      <c r="D66" t="s">
        <v>143</v>
      </c>
      <c r="E66" t="s">
        <v>22</v>
      </c>
      <c r="F66" t="s">
        <v>23</v>
      </c>
      <c r="G66" t="s">
        <v>146</v>
      </c>
      <c r="H66" t="s">
        <v>147</v>
      </c>
      <c r="I66" s="3">
        <f>DATEVALUE("2024/01/24 00:00:00")</f>
        <v>45315</v>
      </c>
      <c r="J66" s="3">
        <f>DATEVALUE("2024/05/17 00:00:00")</f>
        <v>45429</v>
      </c>
      <c r="K66" s="3">
        <f>DATEVALUE("2024/05/24 00:00:00")</f>
        <v>45436</v>
      </c>
      <c r="L66" s="4">
        <v>1033</v>
      </c>
      <c r="M66" s="4">
        <v>0</v>
      </c>
      <c r="N66" t="s">
        <v>26</v>
      </c>
      <c r="O66" s="4">
        <v>393</v>
      </c>
      <c r="P66" s="4">
        <v>406.2</v>
      </c>
      <c r="Q66" s="4">
        <v>0</v>
      </c>
      <c r="R66" t="s">
        <v>34</v>
      </c>
      <c r="S66" t="s">
        <v>35</v>
      </c>
    </row>
    <row r="67" spans="1:19" x14ac:dyDescent="0.25">
      <c r="A67" t="s">
        <v>138</v>
      </c>
      <c r="B67" t="s">
        <v>139</v>
      </c>
      <c r="C67" t="s">
        <v>142</v>
      </c>
      <c r="D67" t="s">
        <v>143</v>
      </c>
      <c r="E67" t="s">
        <v>22</v>
      </c>
      <c r="F67" t="s">
        <v>23</v>
      </c>
      <c r="G67" t="s">
        <v>148</v>
      </c>
      <c r="H67" t="s">
        <v>149</v>
      </c>
      <c r="I67" s="3">
        <f>DATEVALUE("2024/01/29 00:00:00")</f>
        <v>45320</v>
      </c>
      <c r="J67" s="3">
        <f>DATEVALUE("2024/05/29 00:00:00")</f>
        <v>45441</v>
      </c>
      <c r="K67" s="3">
        <f>DATEVALUE("2024/06/12 00:00:00")</f>
        <v>45455</v>
      </c>
      <c r="L67" s="4">
        <v>22943.200000000001</v>
      </c>
      <c r="M67" s="4">
        <v>0</v>
      </c>
      <c r="N67" t="s">
        <v>26</v>
      </c>
      <c r="O67" s="4">
        <v>9931.5</v>
      </c>
      <c r="P67" s="4">
        <v>10371.549999999999</v>
      </c>
      <c r="Q67" s="4">
        <v>0</v>
      </c>
      <c r="R67" t="s">
        <v>34</v>
      </c>
      <c r="S67" t="s">
        <v>35</v>
      </c>
    </row>
    <row r="68" spans="1:19" x14ac:dyDescent="0.25">
      <c r="A68" t="s">
        <v>138</v>
      </c>
      <c r="B68" t="s">
        <v>139</v>
      </c>
      <c r="C68" t="s">
        <v>142</v>
      </c>
      <c r="D68" t="s">
        <v>143</v>
      </c>
      <c r="E68" t="s">
        <v>22</v>
      </c>
      <c r="F68" t="s">
        <v>23</v>
      </c>
      <c r="G68" t="s">
        <v>150</v>
      </c>
      <c r="H68" t="s">
        <v>151</v>
      </c>
      <c r="I68" s="3">
        <f>DATEVALUE("2024/02/26 00:00:00")</f>
        <v>45348</v>
      </c>
      <c r="J68" s="3">
        <f>DATEVALUE("2024/05/30 00:00:00")</f>
        <v>45442</v>
      </c>
      <c r="K68" s="3">
        <f>DATEVALUE("2024/06/11 00:00:00")</f>
        <v>45454</v>
      </c>
      <c r="L68" s="4">
        <v>23380.799999999999</v>
      </c>
      <c r="M68" s="4">
        <v>0</v>
      </c>
      <c r="N68" t="s">
        <v>26</v>
      </c>
      <c r="O68" s="4">
        <v>11911.5</v>
      </c>
      <c r="P68" s="4">
        <v>11691.88</v>
      </c>
      <c r="Q68" s="4">
        <v>0</v>
      </c>
      <c r="R68" t="s">
        <v>34</v>
      </c>
      <c r="S68" t="s">
        <v>35</v>
      </c>
    </row>
    <row r="69" spans="1:19" x14ac:dyDescent="0.25">
      <c r="A69" t="s">
        <v>138</v>
      </c>
      <c r="B69" t="s">
        <v>139</v>
      </c>
      <c r="C69" t="s">
        <v>142</v>
      </c>
      <c r="D69" t="s">
        <v>143</v>
      </c>
      <c r="E69" t="s">
        <v>22</v>
      </c>
      <c r="F69" t="s">
        <v>23</v>
      </c>
      <c r="G69" t="s">
        <v>152</v>
      </c>
      <c r="H69" t="s">
        <v>153</v>
      </c>
      <c r="I69" s="3">
        <f>DATEVALUE("2024/02/27 00:00:00")</f>
        <v>45349</v>
      </c>
      <c r="J69" s="3">
        <f>DATEVALUE("2024/06/28 00:00:00")</f>
        <v>45471</v>
      </c>
      <c r="K69" s="3">
        <f>DATEVALUE("2024/07/12 00:00:00")</f>
        <v>45485</v>
      </c>
      <c r="L69" s="4">
        <v>20607.849999999999</v>
      </c>
      <c r="M69" s="4">
        <v>0</v>
      </c>
      <c r="N69" t="s">
        <v>26</v>
      </c>
      <c r="O69" s="4">
        <v>8755.85</v>
      </c>
      <c r="P69" s="4">
        <v>9237.08</v>
      </c>
      <c r="Q69" s="4">
        <v>0</v>
      </c>
      <c r="R69" t="s">
        <v>34</v>
      </c>
      <c r="S69" t="s">
        <v>35</v>
      </c>
    </row>
    <row r="70" spans="1:19" x14ac:dyDescent="0.25">
      <c r="A70" t="s">
        <v>138</v>
      </c>
      <c r="B70" t="s">
        <v>139</v>
      </c>
      <c r="C70" t="s">
        <v>114</v>
      </c>
      <c r="D70" t="s">
        <v>115</v>
      </c>
      <c r="E70" t="s">
        <v>22</v>
      </c>
      <c r="F70" t="s">
        <v>23</v>
      </c>
      <c r="G70" t="s">
        <v>154</v>
      </c>
      <c r="H70" t="s">
        <v>155</v>
      </c>
      <c r="I70" s="3">
        <f>DATEVALUE("2024/02/06 00:00:00")</f>
        <v>45328</v>
      </c>
      <c r="J70" s="3">
        <f>DATEVALUE("2024/05/30 00:00:00")</f>
        <v>45442</v>
      </c>
      <c r="K70" s="3">
        <f>DATEVALUE("2024/06/06 00:00:00")</f>
        <v>45449</v>
      </c>
      <c r="L70" s="4">
        <v>54469.440000000002</v>
      </c>
      <c r="M70" s="4">
        <v>0</v>
      </c>
      <c r="N70" t="s">
        <v>26</v>
      </c>
      <c r="O70" s="4">
        <v>22326.11</v>
      </c>
      <c r="P70" s="4">
        <v>21530.9</v>
      </c>
      <c r="Q70" s="4">
        <v>0</v>
      </c>
      <c r="R70" t="s">
        <v>34</v>
      </c>
      <c r="S70" t="s">
        <v>35</v>
      </c>
    </row>
    <row r="71" spans="1:19" x14ac:dyDescent="0.25">
      <c r="A71" t="s">
        <v>138</v>
      </c>
      <c r="B71" t="s">
        <v>139</v>
      </c>
      <c r="C71" t="s">
        <v>40</v>
      </c>
      <c r="D71" t="s">
        <v>41</v>
      </c>
      <c r="E71" t="s">
        <v>22</v>
      </c>
      <c r="F71" t="s">
        <v>23</v>
      </c>
      <c r="G71" t="s">
        <v>156</v>
      </c>
      <c r="H71" t="s">
        <v>157</v>
      </c>
      <c r="I71" s="3">
        <f>DATEVALUE("2023/10/02 00:00:00")</f>
        <v>45201</v>
      </c>
      <c r="J71" s="3">
        <f>DATEVALUE("2023/12/30 00:00:00")</f>
        <v>45290</v>
      </c>
      <c r="K71" s="3">
        <f>DATEVALUE("2024/01/19 00:00:00")</f>
        <v>45310</v>
      </c>
      <c r="L71" s="4">
        <v>1030</v>
      </c>
      <c r="M71" s="4">
        <v>0</v>
      </c>
      <c r="N71" t="s">
        <v>26</v>
      </c>
      <c r="O71" s="4">
        <v>207.78</v>
      </c>
      <c r="P71" s="4">
        <v>179.06</v>
      </c>
      <c r="Q71" s="4">
        <v>0</v>
      </c>
      <c r="R71" t="s">
        <v>34</v>
      </c>
      <c r="S71" t="s">
        <v>35</v>
      </c>
    </row>
    <row r="72" spans="1:19" x14ac:dyDescent="0.25">
      <c r="A72" t="s">
        <v>138</v>
      </c>
      <c r="B72" t="s">
        <v>139</v>
      </c>
      <c r="C72" t="s">
        <v>40</v>
      </c>
      <c r="D72" t="s">
        <v>41</v>
      </c>
      <c r="E72" t="s">
        <v>22</v>
      </c>
      <c r="F72" t="s">
        <v>23</v>
      </c>
      <c r="G72" t="s">
        <v>158</v>
      </c>
      <c r="H72" t="s">
        <v>159</v>
      </c>
      <c r="I72" s="3">
        <f>DATEVALUE("2023/10/04 00:00:00")</f>
        <v>45203</v>
      </c>
      <c r="J72" s="3">
        <f>DATEVALUE("2024/01/19 00:00:00")</f>
        <v>45310</v>
      </c>
      <c r="K72" s="3">
        <f>DATEVALUE("2024/02/02 00:00:00")</f>
        <v>45324</v>
      </c>
      <c r="L72" s="4">
        <v>6880.5</v>
      </c>
      <c r="M72" s="4">
        <v>0</v>
      </c>
      <c r="N72" t="s">
        <v>26</v>
      </c>
      <c r="O72" s="4">
        <v>1485</v>
      </c>
      <c r="P72" s="4">
        <v>1449.56</v>
      </c>
      <c r="Q72" s="4">
        <v>0</v>
      </c>
      <c r="R72" t="s">
        <v>34</v>
      </c>
      <c r="S72" t="s">
        <v>35</v>
      </c>
    </row>
    <row r="73" spans="1:19" x14ac:dyDescent="0.25">
      <c r="A73" t="s">
        <v>138</v>
      </c>
      <c r="B73" t="s">
        <v>139</v>
      </c>
      <c r="C73" t="s">
        <v>40</v>
      </c>
      <c r="D73" t="s">
        <v>41</v>
      </c>
      <c r="E73" t="s">
        <v>22</v>
      </c>
      <c r="F73" t="s">
        <v>23</v>
      </c>
      <c r="G73" t="s">
        <v>160</v>
      </c>
      <c r="H73" t="s">
        <v>161</v>
      </c>
      <c r="I73" s="3">
        <f>DATEVALUE("2023/10/24 00:00:00")</f>
        <v>45223</v>
      </c>
      <c r="J73" s="3">
        <f>DATEVALUE("2024/01/05 00:00:00")</f>
        <v>45296</v>
      </c>
      <c r="K73" s="3">
        <f>DATEVALUE("2024/01/19 00:00:00")</f>
        <v>45310</v>
      </c>
      <c r="L73" s="4">
        <v>1680</v>
      </c>
      <c r="M73" s="4">
        <v>0</v>
      </c>
      <c r="N73" t="s">
        <v>26</v>
      </c>
      <c r="O73" s="4">
        <v>457.5</v>
      </c>
      <c r="P73" s="4">
        <v>437.92</v>
      </c>
      <c r="Q73" s="4">
        <v>0</v>
      </c>
      <c r="R73" t="s">
        <v>34</v>
      </c>
      <c r="S73" t="s">
        <v>35</v>
      </c>
    </row>
    <row r="74" spans="1:19" x14ac:dyDescent="0.25">
      <c r="A74" t="s">
        <v>138</v>
      </c>
      <c r="B74" t="s">
        <v>139</v>
      </c>
      <c r="C74" t="s">
        <v>40</v>
      </c>
      <c r="D74" t="s">
        <v>41</v>
      </c>
      <c r="E74" t="s">
        <v>22</v>
      </c>
      <c r="F74" t="s">
        <v>23</v>
      </c>
      <c r="G74" t="s">
        <v>162</v>
      </c>
      <c r="H74" t="s">
        <v>163</v>
      </c>
      <c r="I74" s="3">
        <f>DATEVALUE("2023/12/22 00:00:00")</f>
        <v>45282</v>
      </c>
      <c r="J74" s="3">
        <f>DATEVALUE("2024/04/19 00:00:00")</f>
        <v>45401</v>
      </c>
      <c r="K74" s="3">
        <f>DATEVALUE("2024/04/26 00:00:00")</f>
        <v>45408</v>
      </c>
      <c r="L74" s="4">
        <v>3360</v>
      </c>
      <c r="M74" s="4">
        <v>0</v>
      </c>
      <c r="N74" t="s">
        <v>26</v>
      </c>
      <c r="O74" s="4">
        <v>915</v>
      </c>
      <c r="P74" s="4">
        <v>913.9</v>
      </c>
      <c r="Q74" s="4">
        <v>0</v>
      </c>
      <c r="R74" t="s">
        <v>34</v>
      </c>
      <c r="S74" t="s">
        <v>35</v>
      </c>
    </row>
    <row r="75" spans="1:19" x14ac:dyDescent="0.25">
      <c r="A75" t="s">
        <v>138</v>
      </c>
      <c r="B75" t="s">
        <v>139</v>
      </c>
      <c r="C75" t="s">
        <v>40</v>
      </c>
      <c r="D75" t="s">
        <v>41</v>
      </c>
      <c r="E75" t="s">
        <v>22</v>
      </c>
      <c r="F75" t="s">
        <v>23</v>
      </c>
      <c r="G75" t="s">
        <v>164</v>
      </c>
      <c r="H75" t="s">
        <v>165</v>
      </c>
      <c r="I75" s="3">
        <f>DATEVALUE("2024/01/09 00:00:00")</f>
        <v>45300</v>
      </c>
      <c r="J75" s="3">
        <f>DATEVALUE("2024/05/17 00:00:00")</f>
        <v>45429</v>
      </c>
      <c r="K75" s="3">
        <f>DATEVALUE("2024/05/24 00:00:00")</f>
        <v>45436</v>
      </c>
      <c r="L75" s="4">
        <v>65076</v>
      </c>
      <c r="M75" s="4">
        <v>0</v>
      </c>
      <c r="N75" t="s">
        <v>26</v>
      </c>
      <c r="O75" s="4">
        <v>15807</v>
      </c>
      <c r="P75" s="4">
        <v>16007.5</v>
      </c>
      <c r="Q75" s="4">
        <v>0</v>
      </c>
      <c r="R75" t="s">
        <v>34</v>
      </c>
      <c r="S75" t="s">
        <v>35</v>
      </c>
    </row>
    <row r="76" spans="1:19" x14ac:dyDescent="0.25">
      <c r="A76" t="s">
        <v>138</v>
      </c>
      <c r="B76" t="s">
        <v>139</v>
      </c>
      <c r="C76" t="s">
        <v>40</v>
      </c>
      <c r="D76" t="s">
        <v>41</v>
      </c>
      <c r="E76" t="s">
        <v>22</v>
      </c>
      <c r="F76" t="s">
        <v>23</v>
      </c>
      <c r="G76" t="s">
        <v>166</v>
      </c>
      <c r="H76" t="s">
        <v>167</v>
      </c>
      <c r="I76" s="3">
        <f>DATEVALUE("2024/03/01 00:00:00")</f>
        <v>45352</v>
      </c>
      <c r="J76" s="3">
        <f>DATEVALUE("2024/07/19 00:00:00")</f>
        <v>45492</v>
      </c>
      <c r="K76" s="3">
        <f>DATEVALUE("2024/08/02 00:00:00")</f>
        <v>45506</v>
      </c>
      <c r="L76" s="4">
        <v>35178</v>
      </c>
      <c r="M76" s="4">
        <v>0</v>
      </c>
      <c r="N76" t="s">
        <v>26</v>
      </c>
      <c r="O76" s="4">
        <v>15807</v>
      </c>
      <c r="P76" s="4">
        <v>15614.26</v>
      </c>
      <c r="Q76" s="4">
        <v>0</v>
      </c>
      <c r="R76" t="s">
        <v>34</v>
      </c>
      <c r="S76" t="s">
        <v>35</v>
      </c>
    </row>
    <row r="77" spans="1:19" x14ac:dyDescent="0.25">
      <c r="A77" t="s">
        <v>138</v>
      </c>
      <c r="B77" t="s">
        <v>139</v>
      </c>
      <c r="C77" t="s">
        <v>40</v>
      </c>
      <c r="D77" t="s">
        <v>41</v>
      </c>
      <c r="E77" t="s">
        <v>22</v>
      </c>
      <c r="F77" t="s">
        <v>23</v>
      </c>
      <c r="G77" t="s">
        <v>168</v>
      </c>
      <c r="H77" t="s">
        <v>169</v>
      </c>
      <c r="I77" s="3">
        <f>DATEVALUE("2024/03/13 00:00:00")</f>
        <v>45364</v>
      </c>
      <c r="J77" s="3">
        <f>DATEVALUE("2024/08/26 00:00:00")</f>
        <v>45530</v>
      </c>
      <c r="K77" s="3">
        <f>DATEVALUE("2024/09/06 00:00:00")</f>
        <v>45541</v>
      </c>
      <c r="L77" s="4">
        <v>111872.4</v>
      </c>
      <c r="M77" s="4">
        <v>0</v>
      </c>
      <c r="N77" t="s">
        <v>26</v>
      </c>
      <c r="O77" s="4">
        <v>37695.599999999999</v>
      </c>
      <c r="P77" s="4">
        <v>37208.519999999997</v>
      </c>
      <c r="Q77" s="4">
        <v>0</v>
      </c>
      <c r="R77" t="s">
        <v>34</v>
      </c>
      <c r="S77" t="s">
        <v>35</v>
      </c>
    </row>
    <row r="78" spans="1:19" x14ac:dyDescent="0.25">
      <c r="A78" t="s">
        <v>138</v>
      </c>
      <c r="B78" t="s">
        <v>139</v>
      </c>
      <c r="C78" t="s">
        <v>40</v>
      </c>
      <c r="D78" t="s">
        <v>41</v>
      </c>
      <c r="E78" t="s">
        <v>22</v>
      </c>
      <c r="F78" t="s">
        <v>23</v>
      </c>
      <c r="G78" t="s">
        <v>168</v>
      </c>
      <c r="H78" t="s">
        <v>169</v>
      </c>
      <c r="I78" s="3">
        <f>DATEVALUE("2024/03/13 00:00:00")</f>
        <v>45364</v>
      </c>
      <c r="J78" s="3">
        <f>DATEVALUE("2024/07/15 00:00:00")</f>
        <v>45488</v>
      </c>
      <c r="K78" s="3">
        <f>DATEVALUE("2024/07/19 00:00:00")</f>
        <v>45492</v>
      </c>
      <c r="L78" s="4">
        <v>65076</v>
      </c>
      <c r="M78" s="4">
        <v>0</v>
      </c>
      <c r="N78" t="s">
        <v>26</v>
      </c>
      <c r="O78" s="4">
        <v>15807</v>
      </c>
      <c r="P78" s="4">
        <v>15413.06</v>
      </c>
      <c r="Q78" s="4">
        <v>0</v>
      </c>
      <c r="R78" t="s">
        <v>34</v>
      </c>
      <c r="S78" t="s">
        <v>35</v>
      </c>
    </row>
    <row r="79" spans="1:19" x14ac:dyDescent="0.25">
      <c r="A79" t="s">
        <v>138</v>
      </c>
      <c r="B79" t="s">
        <v>139</v>
      </c>
      <c r="C79" t="s">
        <v>44</v>
      </c>
      <c r="D79" t="s">
        <v>45</v>
      </c>
      <c r="E79" t="s">
        <v>22</v>
      </c>
      <c r="F79" t="s">
        <v>23</v>
      </c>
      <c r="G79" t="s">
        <v>170</v>
      </c>
      <c r="H79" t="s">
        <v>171</v>
      </c>
      <c r="I79" s="3">
        <f>DATEVALUE("2023/11/01 00:00:00")</f>
        <v>45231</v>
      </c>
      <c r="J79" s="3">
        <f>DATEVALUE("2024/03/01 00:00:00")</f>
        <v>45352</v>
      </c>
      <c r="K79" s="3">
        <f>DATEVALUE("2024/03/06 00:00:00")</f>
        <v>45357</v>
      </c>
      <c r="L79" s="4">
        <v>41302.800000000003</v>
      </c>
      <c r="M79" s="4">
        <v>0</v>
      </c>
      <c r="N79" t="s">
        <v>26</v>
      </c>
      <c r="O79" s="4">
        <v>18144</v>
      </c>
      <c r="P79" s="4">
        <v>17401.28</v>
      </c>
      <c r="Q79" s="4">
        <v>0</v>
      </c>
      <c r="R79" t="s">
        <v>34</v>
      </c>
      <c r="S79" t="s">
        <v>35</v>
      </c>
    </row>
    <row r="80" spans="1:19" x14ac:dyDescent="0.25">
      <c r="A80" t="s">
        <v>138</v>
      </c>
      <c r="B80" t="s">
        <v>139</v>
      </c>
      <c r="C80" t="s">
        <v>44</v>
      </c>
      <c r="D80" t="s">
        <v>45</v>
      </c>
      <c r="E80" t="s">
        <v>22</v>
      </c>
      <c r="F80" t="s">
        <v>23</v>
      </c>
      <c r="G80" t="s">
        <v>172</v>
      </c>
      <c r="H80" t="s">
        <v>173</v>
      </c>
      <c r="I80" s="3">
        <f>DATEVALUE("2023/12/15 00:00:00")</f>
        <v>45275</v>
      </c>
      <c r="J80" s="3">
        <f>DATEVALUE("2024/03/22 00:00:00")</f>
        <v>45373</v>
      </c>
      <c r="K80" s="3">
        <f>DATEVALUE("2024/03/30 00:00:00")</f>
        <v>45381</v>
      </c>
      <c r="L80" s="4">
        <v>31531.68</v>
      </c>
      <c r="M80" s="4">
        <v>0</v>
      </c>
      <c r="N80" t="s">
        <v>26</v>
      </c>
      <c r="O80" s="4">
        <v>15488.16</v>
      </c>
      <c r="P80" s="4">
        <v>14243.38</v>
      </c>
      <c r="Q80" s="4">
        <v>0</v>
      </c>
      <c r="R80" t="s">
        <v>34</v>
      </c>
      <c r="S80" t="s">
        <v>35</v>
      </c>
    </row>
    <row r="81" spans="1:19" x14ac:dyDescent="0.25">
      <c r="A81" t="s">
        <v>138</v>
      </c>
      <c r="B81" t="s">
        <v>139</v>
      </c>
      <c r="C81" t="s">
        <v>174</v>
      </c>
      <c r="D81" t="s">
        <v>175</v>
      </c>
      <c r="E81" t="s">
        <v>22</v>
      </c>
      <c r="F81" t="s">
        <v>23</v>
      </c>
      <c r="G81" t="s">
        <v>176</v>
      </c>
      <c r="H81" t="s">
        <v>177</v>
      </c>
      <c r="I81" s="3">
        <f>DATEVALUE("2023/11/07 00:00:00")</f>
        <v>45237</v>
      </c>
      <c r="J81" s="3">
        <f>DATEVALUE("2024/02/23 00:00:00")</f>
        <v>45345</v>
      </c>
      <c r="K81" s="3">
        <f>DATEVALUE("2024/03/11 00:00:00")</f>
        <v>45362</v>
      </c>
      <c r="L81" s="4">
        <v>33787.97</v>
      </c>
      <c r="M81" s="4">
        <v>0</v>
      </c>
      <c r="N81" t="s">
        <v>26</v>
      </c>
      <c r="O81" s="4">
        <v>16205.26</v>
      </c>
      <c r="P81" s="4">
        <v>14919.12</v>
      </c>
      <c r="Q81" s="4">
        <v>0</v>
      </c>
      <c r="R81" t="s">
        <v>34</v>
      </c>
      <c r="S81" t="s">
        <v>35</v>
      </c>
    </row>
    <row r="82" spans="1:19" x14ac:dyDescent="0.25">
      <c r="A82" t="s">
        <v>178</v>
      </c>
      <c r="B82" t="s">
        <v>179</v>
      </c>
      <c r="C82" t="s">
        <v>106</v>
      </c>
      <c r="D82" t="s">
        <v>107</v>
      </c>
      <c r="E82" t="s">
        <v>22</v>
      </c>
      <c r="F82" t="s">
        <v>23</v>
      </c>
      <c r="G82" t="s">
        <v>180</v>
      </c>
      <c r="H82" t="s">
        <v>181</v>
      </c>
      <c r="I82" s="3">
        <f>DATEVALUE("2023/12/25 00:00:00")</f>
        <v>45285</v>
      </c>
      <c r="J82" s="3">
        <f>DATEVALUE("2024/04/22 00:00:00")</f>
        <v>45404</v>
      </c>
      <c r="K82" s="3">
        <f>DATEVALUE("2024/04/29 00:00:00")</f>
        <v>45411</v>
      </c>
      <c r="L82" s="4">
        <v>3763.2</v>
      </c>
      <c r="M82" s="4">
        <v>0</v>
      </c>
      <c r="N82" t="s">
        <v>64</v>
      </c>
      <c r="O82" s="4">
        <v>1209.5999999999999</v>
      </c>
      <c r="P82" s="4">
        <v>1145.2</v>
      </c>
      <c r="Q82" s="4">
        <v>0</v>
      </c>
      <c r="R82" t="s">
        <v>34</v>
      </c>
      <c r="S82" t="s">
        <v>35</v>
      </c>
    </row>
    <row r="83" spans="1:19" x14ac:dyDescent="0.25">
      <c r="A83" t="s">
        <v>178</v>
      </c>
      <c r="B83" t="s">
        <v>179</v>
      </c>
      <c r="C83" t="s">
        <v>60</v>
      </c>
      <c r="D83" t="s">
        <v>61</v>
      </c>
      <c r="E83" t="s">
        <v>22</v>
      </c>
      <c r="F83" t="s">
        <v>23</v>
      </c>
      <c r="G83" t="s">
        <v>182</v>
      </c>
      <c r="H83" t="s">
        <v>183</v>
      </c>
      <c r="I83" s="3">
        <f>DATEVALUE("2023/08/08 00:00:00")</f>
        <v>45146</v>
      </c>
      <c r="J83" s="3">
        <f>DATEVALUE("2024/02/09 00:00:00")</f>
        <v>45331</v>
      </c>
      <c r="K83" s="3">
        <f>DATEVALUE("2024/02/16 00:00:00")</f>
        <v>45338</v>
      </c>
      <c r="L83" s="4">
        <v>11871.3</v>
      </c>
      <c r="M83" s="4">
        <v>0</v>
      </c>
      <c r="N83" t="s">
        <v>64</v>
      </c>
      <c r="O83" s="4">
        <v>4877.41</v>
      </c>
      <c r="P83" s="4">
        <v>5027.17</v>
      </c>
      <c r="Q83" s="4">
        <v>0</v>
      </c>
      <c r="R83" t="s">
        <v>34</v>
      </c>
      <c r="S83" t="s">
        <v>35</v>
      </c>
    </row>
    <row r="84" spans="1:19" x14ac:dyDescent="0.25">
      <c r="A84" t="s">
        <v>178</v>
      </c>
      <c r="B84" t="s">
        <v>179</v>
      </c>
      <c r="C84" t="s">
        <v>60</v>
      </c>
      <c r="D84" t="s">
        <v>61</v>
      </c>
      <c r="E84" t="s">
        <v>22</v>
      </c>
      <c r="F84" t="s">
        <v>23</v>
      </c>
      <c r="G84" t="s">
        <v>182</v>
      </c>
      <c r="H84" t="s">
        <v>183</v>
      </c>
      <c r="I84" s="3">
        <f>DATEVALUE("2023/08/08 00:00:00")</f>
        <v>45146</v>
      </c>
      <c r="J84" s="3">
        <f>DATEVALUE("2024/01/19 00:00:00")</f>
        <v>45310</v>
      </c>
      <c r="K84" s="3">
        <f>DATEVALUE("2024/02/16 00:00:00")</f>
        <v>45338</v>
      </c>
      <c r="L84" s="4">
        <v>1425.6</v>
      </c>
      <c r="M84" s="4">
        <v>0</v>
      </c>
      <c r="N84" t="s">
        <v>64</v>
      </c>
      <c r="O84" s="4">
        <v>486</v>
      </c>
      <c r="P84" s="4">
        <v>479.98</v>
      </c>
      <c r="Q84" s="4">
        <v>0</v>
      </c>
      <c r="R84" t="s">
        <v>34</v>
      </c>
      <c r="S84" t="s">
        <v>35</v>
      </c>
    </row>
    <row r="85" spans="1:19" x14ac:dyDescent="0.25">
      <c r="A85" t="s">
        <v>178</v>
      </c>
      <c r="B85" t="s">
        <v>179</v>
      </c>
      <c r="C85" t="s">
        <v>60</v>
      </c>
      <c r="D85" t="s">
        <v>61</v>
      </c>
      <c r="E85" t="s">
        <v>22</v>
      </c>
      <c r="F85" t="s">
        <v>23</v>
      </c>
      <c r="G85" t="s">
        <v>184</v>
      </c>
      <c r="H85" t="s">
        <v>185</v>
      </c>
      <c r="I85" s="3">
        <f>DATEVALUE("2023/08/18 00:00:00")</f>
        <v>45156</v>
      </c>
      <c r="J85" s="3">
        <f>DATEVALUE("2024/01/12 00:00:00")</f>
        <v>45303</v>
      </c>
      <c r="K85" s="3">
        <f>DATEVALUE("2024/01/19 00:00:00")</f>
        <v>45310</v>
      </c>
      <c r="L85" s="4">
        <v>4920</v>
      </c>
      <c r="M85" s="4">
        <v>0</v>
      </c>
      <c r="N85" t="s">
        <v>64</v>
      </c>
      <c r="O85" s="4">
        <v>1230</v>
      </c>
      <c r="P85" s="4">
        <v>1234.6300000000001</v>
      </c>
      <c r="Q85" s="4">
        <v>0</v>
      </c>
      <c r="R85" t="s">
        <v>34</v>
      </c>
      <c r="S85" t="s">
        <v>35</v>
      </c>
    </row>
    <row r="86" spans="1:19" x14ac:dyDescent="0.25">
      <c r="A86" t="s">
        <v>178</v>
      </c>
      <c r="B86" t="s">
        <v>179</v>
      </c>
      <c r="C86" t="s">
        <v>60</v>
      </c>
      <c r="D86" t="s">
        <v>61</v>
      </c>
      <c r="E86" t="s">
        <v>22</v>
      </c>
      <c r="F86" t="s">
        <v>23</v>
      </c>
      <c r="G86" t="s">
        <v>186</v>
      </c>
      <c r="H86" t="s">
        <v>187</v>
      </c>
      <c r="I86" s="3">
        <f>DATEVALUE("2023/09/01 00:00:00")</f>
        <v>45170</v>
      </c>
      <c r="J86" s="3">
        <f>DATEVALUE("2024/04/16 00:00:00")</f>
        <v>45398</v>
      </c>
      <c r="K86" s="3">
        <f>DATEVALUE("2024/04/23 00:00:00")</f>
        <v>45405</v>
      </c>
      <c r="L86" s="4">
        <v>975</v>
      </c>
      <c r="M86" s="4">
        <v>0</v>
      </c>
      <c r="N86" t="s">
        <v>64</v>
      </c>
      <c r="O86" s="4">
        <v>352.5</v>
      </c>
      <c r="P86" s="4">
        <v>329.64</v>
      </c>
      <c r="Q86" s="4">
        <v>0</v>
      </c>
      <c r="R86" t="s">
        <v>34</v>
      </c>
      <c r="S86" t="s">
        <v>35</v>
      </c>
    </row>
    <row r="87" spans="1:19" x14ac:dyDescent="0.25">
      <c r="A87" t="s">
        <v>178</v>
      </c>
      <c r="B87" t="s">
        <v>179</v>
      </c>
      <c r="C87" t="s">
        <v>60</v>
      </c>
      <c r="D87" t="s">
        <v>61</v>
      </c>
      <c r="E87" t="s">
        <v>22</v>
      </c>
      <c r="F87" t="s">
        <v>23</v>
      </c>
      <c r="G87" t="s">
        <v>188</v>
      </c>
      <c r="H87" t="s">
        <v>189</v>
      </c>
      <c r="I87" s="3">
        <f>DATEVALUE("2023/09/05 00:00:00")</f>
        <v>45174</v>
      </c>
      <c r="J87" s="3">
        <f>DATEVALUE("2024/03/08 00:00:00")</f>
        <v>45359</v>
      </c>
      <c r="K87" s="3">
        <f>DATEVALUE("2024/03/15 00:00:00")</f>
        <v>45366</v>
      </c>
      <c r="L87" s="4">
        <v>1500.75</v>
      </c>
      <c r="M87" s="4">
        <v>0</v>
      </c>
      <c r="N87" t="s">
        <v>64</v>
      </c>
      <c r="O87" s="4">
        <v>699.86</v>
      </c>
      <c r="P87" s="4">
        <v>727.92</v>
      </c>
      <c r="Q87" s="4">
        <v>0</v>
      </c>
      <c r="R87" t="s">
        <v>34</v>
      </c>
      <c r="S87" t="s">
        <v>35</v>
      </c>
    </row>
    <row r="88" spans="1:19" x14ac:dyDescent="0.25">
      <c r="A88" t="s">
        <v>178</v>
      </c>
      <c r="B88" t="s">
        <v>179</v>
      </c>
      <c r="C88" t="s">
        <v>60</v>
      </c>
      <c r="D88" t="s">
        <v>61</v>
      </c>
      <c r="E88" t="s">
        <v>22</v>
      </c>
      <c r="F88" t="s">
        <v>23</v>
      </c>
      <c r="G88" t="s">
        <v>188</v>
      </c>
      <c r="H88" t="s">
        <v>189</v>
      </c>
      <c r="I88" s="3">
        <f>DATEVALUE("2023/09/05 00:00:00")</f>
        <v>45174</v>
      </c>
      <c r="J88" s="3">
        <f>DATEVALUE("2024/01/12 00:00:00")</f>
        <v>45303</v>
      </c>
      <c r="K88" s="3">
        <f>DATEVALUE("2024/03/15 00:00:00")</f>
        <v>45366</v>
      </c>
      <c r="L88" s="4">
        <v>696</v>
      </c>
      <c r="M88" s="4">
        <v>0</v>
      </c>
      <c r="N88" t="s">
        <v>64</v>
      </c>
      <c r="O88" s="4">
        <v>366</v>
      </c>
      <c r="P88" s="4">
        <v>386.28</v>
      </c>
      <c r="Q88" s="4">
        <v>0</v>
      </c>
      <c r="R88" t="s">
        <v>34</v>
      </c>
      <c r="S88" t="s">
        <v>35</v>
      </c>
    </row>
    <row r="89" spans="1:19" x14ac:dyDescent="0.25">
      <c r="A89" t="s">
        <v>178</v>
      </c>
      <c r="B89" t="s">
        <v>179</v>
      </c>
      <c r="C89" t="s">
        <v>60</v>
      </c>
      <c r="D89" t="s">
        <v>61</v>
      </c>
      <c r="E89" t="s">
        <v>22</v>
      </c>
      <c r="F89" t="s">
        <v>23</v>
      </c>
      <c r="G89" t="s">
        <v>190</v>
      </c>
      <c r="H89" t="s">
        <v>191</v>
      </c>
      <c r="I89" s="3">
        <f>DATEVALUE("2023/09/13 00:00:00")</f>
        <v>45182</v>
      </c>
      <c r="J89" s="3">
        <f>DATEVALUE("2024/03/20 00:00:00")</f>
        <v>45371</v>
      </c>
      <c r="K89" s="3">
        <f>DATEVALUE("2024/03/27 00:00:00")</f>
        <v>45378</v>
      </c>
      <c r="L89" s="4">
        <v>6000</v>
      </c>
      <c r="M89" s="4">
        <v>0</v>
      </c>
      <c r="N89" t="s">
        <v>64</v>
      </c>
      <c r="O89" s="4">
        <v>1800</v>
      </c>
      <c r="P89" s="4">
        <v>1936.48</v>
      </c>
      <c r="Q89" s="4">
        <v>0</v>
      </c>
      <c r="R89" t="s">
        <v>34</v>
      </c>
      <c r="S89" t="s">
        <v>35</v>
      </c>
    </row>
    <row r="90" spans="1:19" x14ac:dyDescent="0.25">
      <c r="A90" t="s">
        <v>178</v>
      </c>
      <c r="B90" t="s">
        <v>179</v>
      </c>
      <c r="C90" t="s">
        <v>60</v>
      </c>
      <c r="D90" t="s">
        <v>61</v>
      </c>
      <c r="E90" t="s">
        <v>22</v>
      </c>
      <c r="F90" t="s">
        <v>23</v>
      </c>
      <c r="G90" t="s">
        <v>192</v>
      </c>
      <c r="H90" t="s">
        <v>193</v>
      </c>
      <c r="I90" s="3">
        <f>DATEVALUE("2023/09/14 00:00:00")</f>
        <v>45183</v>
      </c>
      <c r="J90" s="3">
        <f>DATEVALUE("2024/02/09 00:00:00")</f>
        <v>45331</v>
      </c>
      <c r="K90" s="3">
        <f>DATEVALUE("2024/02/16 00:00:00")</f>
        <v>45338</v>
      </c>
      <c r="L90" s="4">
        <v>3110</v>
      </c>
      <c r="M90" s="4">
        <v>0</v>
      </c>
      <c r="N90" t="s">
        <v>64</v>
      </c>
      <c r="O90" s="4">
        <v>1265.5</v>
      </c>
      <c r="P90" s="4">
        <v>1282.6600000000001</v>
      </c>
      <c r="Q90" s="4">
        <v>0</v>
      </c>
      <c r="R90" t="s">
        <v>34</v>
      </c>
      <c r="S90" t="s">
        <v>35</v>
      </c>
    </row>
    <row r="91" spans="1:19" x14ac:dyDescent="0.25">
      <c r="A91" t="s">
        <v>178</v>
      </c>
      <c r="B91" t="s">
        <v>179</v>
      </c>
      <c r="C91" t="s">
        <v>60</v>
      </c>
      <c r="D91" t="s">
        <v>61</v>
      </c>
      <c r="E91" t="s">
        <v>22</v>
      </c>
      <c r="F91" t="s">
        <v>23</v>
      </c>
      <c r="G91" t="s">
        <v>194</v>
      </c>
      <c r="H91" t="s">
        <v>195</v>
      </c>
      <c r="I91" s="3">
        <f>DATEVALUE("2023/09/14 00:00:00")</f>
        <v>45183</v>
      </c>
      <c r="J91" s="3">
        <f>DATEVALUE("2024/03/29 00:00:00")</f>
        <v>45380</v>
      </c>
      <c r="K91" s="3">
        <f>DATEVALUE("2024/04/05 00:00:00")</f>
        <v>45387</v>
      </c>
      <c r="L91" s="4">
        <v>6879.5</v>
      </c>
      <c r="M91" s="4">
        <v>0</v>
      </c>
      <c r="N91" t="s">
        <v>64</v>
      </c>
      <c r="O91" s="4">
        <v>3505.05</v>
      </c>
      <c r="P91" s="4">
        <v>3669.11</v>
      </c>
      <c r="Q91" s="4">
        <v>0</v>
      </c>
      <c r="R91" t="s">
        <v>34</v>
      </c>
      <c r="S91" t="s">
        <v>35</v>
      </c>
    </row>
    <row r="92" spans="1:19" x14ac:dyDescent="0.25">
      <c r="A92" t="s">
        <v>178</v>
      </c>
      <c r="B92" t="s">
        <v>179</v>
      </c>
      <c r="C92" t="s">
        <v>60</v>
      </c>
      <c r="D92" t="s">
        <v>61</v>
      </c>
      <c r="E92" t="s">
        <v>22</v>
      </c>
      <c r="F92" t="s">
        <v>23</v>
      </c>
      <c r="G92" t="s">
        <v>194</v>
      </c>
      <c r="H92" t="s">
        <v>195</v>
      </c>
      <c r="I92" s="3">
        <f>DATEVALUE("2023/09/14 00:00:00")</f>
        <v>45183</v>
      </c>
      <c r="J92" s="3">
        <f>DATEVALUE("2024/01/31 00:00:00")</f>
        <v>45322</v>
      </c>
      <c r="K92" s="3">
        <f>DATEVALUE("2024/04/05 00:00:00")</f>
        <v>45387</v>
      </c>
      <c r="L92" s="4">
        <v>950</v>
      </c>
      <c r="M92" s="4">
        <v>0</v>
      </c>
      <c r="N92" t="s">
        <v>64</v>
      </c>
      <c r="O92" s="4">
        <v>560</v>
      </c>
      <c r="P92" s="4">
        <v>580.88</v>
      </c>
      <c r="Q92" s="4">
        <v>0</v>
      </c>
      <c r="R92" t="s">
        <v>34</v>
      </c>
      <c r="S92" t="s">
        <v>35</v>
      </c>
    </row>
    <row r="93" spans="1:19" x14ac:dyDescent="0.25">
      <c r="A93" t="s">
        <v>178</v>
      </c>
      <c r="B93" t="s">
        <v>179</v>
      </c>
      <c r="C93" t="s">
        <v>60</v>
      </c>
      <c r="D93" t="s">
        <v>61</v>
      </c>
      <c r="E93" t="s">
        <v>22</v>
      </c>
      <c r="F93" t="s">
        <v>23</v>
      </c>
      <c r="G93" t="s">
        <v>196</v>
      </c>
      <c r="H93" t="s">
        <v>197</v>
      </c>
      <c r="I93" s="3">
        <f>DATEVALUE("2023/09/21 00:00:00")</f>
        <v>45190</v>
      </c>
      <c r="J93" s="3">
        <f>DATEVALUE("2024/04/05 00:00:00")</f>
        <v>45387</v>
      </c>
      <c r="K93" s="3">
        <f>DATEVALUE("2024/04/12 00:00:00")</f>
        <v>45394</v>
      </c>
      <c r="L93" s="4">
        <v>1845</v>
      </c>
      <c r="M93" s="4">
        <v>0</v>
      </c>
      <c r="N93" t="s">
        <v>64</v>
      </c>
      <c r="O93" s="4">
        <v>916.5</v>
      </c>
      <c r="P93" s="4">
        <v>915.22</v>
      </c>
      <c r="Q93" s="4">
        <v>0</v>
      </c>
      <c r="R93" t="s">
        <v>34</v>
      </c>
      <c r="S93" t="s">
        <v>35</v>
      </c>
    </row>
    <row r="94" spans="1:19" x14ac:dyDescent="0.25">
      <c r="A94" t="s">
        <v>178</v>
      </c>
      <c r="B94" t="s">
        <v>179</v>
      </c>
      <c r="C94" t="s">
        <v>60</v>
      </c>
      <c r="D94" t="s">
        <v>61</v>
      </c>
      <c r="E94" t="s">
        <v>22</v>
      </c>
      <c r="F94" t="s">
        <v>23</v>
      </c>
      <c r="G94" t="s">
        <v>198</v>
      </c>
      <c r="H94" t="s">
        <v>199</v>
      </c>
      <c r="I94" s="3">
        <f>DATEVALUE("2023/09/21 00:00:00")</f>
        <v>45190</v>
      </c>
      <c r="J94" s="3">
        <f>DATEVALUE("2024/04/05 00:00:00")</f>
        <v>45387</v>
      </c>
      <c r="K94" s="3">
        <f>DATEVALUE("2024/04/12 00:00:00")</f>
        <v>45394</v>
      </c>
      <c r="L94" s="4">
        <v>18452.400000000001</v>
      </c>
      <c r="M94" s="4">
        <v>0</v>
      </c>
      <c r="N94" t="s">
        <v>64</v>
      </c>
      <c r="O94" s="4">
        <v>8613.48</v>
      </c>
      <c r="P94" s="4">
        <v>8733.7199999999993</v>
      </c>
      <c r="Q94" s="4">
        <v>0</v>
      </c>
      <c r="R94" t="s">
        <v>34</v>
      </c>
      <c r="S94" t="s">
        <v>35</v>
      </c>
    </row>
    <row r="95" spans="1:19" x14ac:dyDescent="0.25">
      <c r="A95" t="s">
        <v>178</v>
      </c>
      <c r="B95" t="s">
        <v>179</v>
      </c>
      <c r="C95" t="s">
        <v>60</v>
      </c>
      <c r="D95" t="s">
        <v>61</v>
      </c>
      <c r="E95" t="s">
        <v>22</v>
      </c>
      <c r="F95" t="s">
        <v>23</v>
      </c>
      <c r="G95" t="s">
        <v>198</v>
      </c>
      <c r="H95" t="s">
        <v>199</v>
      </c>
      <c r="I95" s="3">
        <f>DATEVALUE("2023/09/21 00:00:00")</f>
        <v>45190</v>
      </c>
      <c r="J95" s="3">
        <f>DATEVALUE("2024/02/16 00:00:00")</f>
        <v>45338</v>
      </c>
      <c r="K95" s="3">
        <f>DATEVALUE("2024/04/12 00:00:00")</f>
        <v>45394</v>
      </c>
      <c r="L95" s="4">
        <v>20175.599999999999</v>
      </c>
      <c r="M95" s="4">
        <v>0</v>
      </c>
      <c r="N95" t="s">
        <v>64</v>
      </c>
      <c r="O95" s="4">
        <v>10503.18</v>
      </c>
      <c r="P95" s="4">
        <v>10584.75</v>
      </c>
      <c r="Q95" s="4">
        <v>0</v>
      </c>
      <c r="R95" t="s">
        <v>34</v>
      </c>
      <c r="S95" t="s">
        <v>35</v>
      </c>
    </row>
    <row r="96" spans="1:19" x14ac:dyDescent="0.25">
      <c r="A96" t="s">
        <v>178</v>
      </c>
      <c r="B96" t="s">
        <v>179</v>
      </c>
      <c r="C96" t="s">
        <v>60</v>
      </c>
      <c r="D96" t="s">
        <v>61</v>
      </c>
      <c r="E96" t="s">
        <v>22</v>
      </c>
      <c r="F96" t="s">
        <v>23</v>
      </c>
      <c r="G96" t="s">
        <v>198</v>
      </c>
      <c r="H96" t="s">
        <v>199</v>
      </c>
      <c r="I96" s="3">
        <f>DATEVALUE("2023/09/21 00:00:00")</f>
        <v>45190</v>
      </c>
      <c r="J96" s="3">
        <f>DATEVALUE("2024/01/19 00:00:00")</f>
        <v>45310</v>
      </c>
      <c r="K96" s="3">
        <f>DATEVALUE("2024/04/12 00:00:00")</f>
        <v>45394</v>
      </c>
      <c r="L96" s="4">
        <v>2438.1</v>
      </c>
      <c r="M96" s="4">
        <v>0</v>
      </c>
      <c r="N96" t="s">
        <v>64</v>
      </c>
      <c r="O96" s="4">
        <v>1315.8</v>
      </c>
      <c r="P96" s="4">
        <v>1341.13</v>
      </c>
      <c r="Q96" s="4">
        <v>0</v>
      </c>
      <c r="R96" t="s">
        <v>34</v>
      </c>
      <c r="S96" t="s">
        <v>35</v>
      </c>
    </row>
    <row r="97" spans="1:19" x14ac:dyDescent="0.25">
      <c r="A97" t="s">
        <v>178</v>
      </c>
      <c r="B97" t="s">
        <v>179</v>
      </c>
      <c r="C97" t="s">
        <v>60</v>
      </c>
      <c r="D97" t="s">
        <v>61</v>
      </c>
      <c r="E97" t="s">
        <v>22</v>
      </c>
      <c r="F97" t="s">
        <v>23</v>
      </c>
      <c r="G97" t="s">
        <v>200</v>
      </c>
      <c r="H97" t="s">
        <v>201</v>
      </c>
      <c r="I97" s="3">
        <f>DATEVALUE("2023/10/03 00:00:00")</f>
        <v>45202</v>
      </c>
      <c r="J97" s="3">
        <f>DATEVALUE("2023/12/25 00:00:00")</f>
        <v>45285</v>
      </c>
      <c r="K97" s="3">
        <f>DATEVALUE("2024/04/23 00:00:00")</f>
        <v>45405</v>
      </c>
      <c r="L97" s="4">
        <v>5456.7</v>
      </c>
      <c r="M97" s="4">
        <v>0</v>
      </c>
      <c r="N97" t="s">
        <v>64</v>
      </c>
      <c r="O97" s="4">
        <v>2770.92</v>
      </c>
      <c r="P97" s="4">
        <v>2805.27</v>
      </c>
      <c r="Q97" s="4">
        <v>0</v>
      </c>
      <c r="R97" t="s">
        <v>34</v>
      </c>
      <c r="S97" t="s">
        <v>35</v>
      </c>
    </row>
    <row r="98" spans="1:19" x14ac:dyDescent="0.25">
      <c r="A98" t="s">
        <v>178</v>
      </c>
      <c r="B98" t="s">
        <v>179</v>
      </c>
      <c r="C98" t="s">
        <v>60</v>
      </c>
      <c r="D98" t="s">
        <v>61</v>
      </c>
      <c r="E98" t="s">
        <v>22</v>
      </c>
      <c r="F98" t="s">
        <v>23</v>
      </c>
      <c r="G98" t="s">
        <v>200</v>
      </c>
      <c r="H98" t="s">
        <v>201</v>
      </c>
      <c r="I98" s="3">
        <f>DATEVALUE("2023/10/03 00:00:00")</f>
        <v>45202</v>
      </c>
      <c r="J98" s="3">
        <f>DATEVALUE("2024/04/16 00:00:00")</f>
        <v>45398</v>
      </c>
      <c r="K98" s="3">
        <f>DATEVALUE("2024/04/23 00:00:00")</f>
        <v>45405</v>
      </c>
      <c r="L98" s="4">
        <v>16887.82</v>
      </c>
      <c r="M98" s="4">
        <v>0</v>
      </c>
      <c r="N98" t="s">
        <v>64</v>
      </c>
      <c r="O98" s="4">
        <v>8314.11</v>
      </c>
      <c r="P98" s="4">
        <v>8507.2099999999991</v>
      </c>
      <c r="Q98" s="4">
        <v>0</v>
      </c>
      <c r="R98" t="s">
        <v>34</v>
      </c>
      <c r="S98" t="s">
        <v>35</v>
      </c>
    </row>
    <row r="99" spans="1:19" x14ac:dyDescent="0.25">
      <c r="A99" t="s">
        <v>178</v>
      </c>
      <c r="B99" t="s">
        <v>179</v>
      </c>
      <c r="C99" t="s">
        <v>60</v>
      </c>
      <c r="D99" t="s">
        <v>61</v>
      </c>
      <c r="E99" t="s">
        <v>22</v>
      </c>
      <c r="F99" t="s">
        <v>23</v>
      </c>
      <c r="G99" t="s">
        <v>200</v>
      </c>
      <c r="H99" t="s">
        <v>201</v>
      </c>
      <c r="I99" s="3">
        <f>DATEVALUE("2023/10/03 00:00:00")</f>
        <v>45202</v>
      </c>
      <c r="J99" s="3">
        <f>DATEVALUE("2024/01/19 00:00:00")</f>
        <v>45310</v>
      </c>
      <c r="K99" s="3">
        <f>DATEVALUE("2024/04/23 00:00:00")</f>
        <v>45405</v>
      </c>
      <c r="L99" s="4">
        <v>805.8</v>
      </c>
      <c r="M99" s="4">
        <v>0</v>
      </c>
      <c r="N99" t="s">
        <v>64</v>
      </c>
      <c r="O99" s="4">
        <v>418.2</v>
      </c>
      <c r="P99" s="4">
        <v>428.13</v>
      </c>
      <c r="Q99" s="4">
        <v>0</v>
      </c>
      <c r="R99" t="s">
        <v>34</v>
      </c>
      <c r="S99" t="s">
        <v>35</v>
      </c>
    </row>
    <row r="100" spans="1:19" x14ac:dyDescent="0.25">
      <c r="A100" t="s">
        <v>178</v>
      </c>
      <c r="B100" t="s">
        <v>179</v>
      </c>
      <c r="C100" t="s">
        <v>60</v>
      </c>
      <c r="D100" t="s">
        <v>61</v>
      </c>
      <c r="E100" t="s">
        <v>22</v>
      </c>
      <c r="F100" t="s">
        <v>23</v>
      </c>
      <c r="G100" t="s">
        <v>202</v>
      </c>
      <c r="H100" t="s">
        <v>203</v>
      </c>
      <c r="I100" s="3">
        <f>DATEVALUE("2023/10/11 00:00:00")</f>
        <v>45210</v>
      </c>
      <c r="J100" s="3">
        <f>DATEVALUE("2024/04/26 00:00:00")</f>
        <v>45408</v>
      </c>
      <c r="K100" s="3">
        <f>DATEVALUE("2024/05/03 00:00:00")</f>
        <v>45415</v>
      </c>
      <c r="L100" s="4">
        <v>2976</v>
      </c>
      <c r="M100" s="4">
        <v>0</v>
      </c>
      <c r="N100" t="s">
        <v>64</v>
      </c>
      <c r="O100" s="4">
        <v>1409.04</v>
      </c>
      <c r="P100" s="4">
        <v>1423.29</v>
      </c>
      <c r="Q100" s="4">
        <v>0</v>
      </c>
      <c r="R100" t="s">
        <v>34</v>
      </c>
      <c r="S100" t="s">
        <v>35</v>
      </c>
    </row>
    <row r="101" spans="1:19" x14ac:dyDescent="0.25">
      <c r="A101" t="s">
        <v>178</v>
      </c>
      <c r="B101" t="s">
        <v>179</v>
      </c>
      <c r="C101" t="s">
        <v>60</v>
      </c>
      <c r="D101" t="s">
        <v>61</v>
      </c>
      <c r="E101" t="s">
        <v>22</v>
      </c>
      <c r="F101" t="s">
        <v>23</v>
      </c>
      <c r="G101" t="s">
        <v>202</v>
      </c>
      <c r="H101" t="s">
        <v>203</v>
      </c>
      <c r="I101" s="3">
        <f>DATEVALUE("2023/10/11 00:00:00")</f>
        <v>45210</v>
      </c>
      <c r="J101" s="3">
        <f>DATEVALUE("2024/01/19 00:00:00")</f>
        <v>45310</v>
      </c>
      <c r="K101" s="3">
        <f>DATEVALUE("2024/05/03 00:00:00")</f>
        <v>45415</v>
      </c>
      <c r="L101" s="4">
        <v>671</v>
      </c>
      <c r="M101" s="4">
        <v>0</v>
      </c>
      <c r="N101" t="s">
        <v>64</v>
      </c>
      <c r="O101" s="4">
        <v>374</v>
      </c>
      <c r="P101" s="4">
        <v>379.96</v>
      </c>
      <c r="Q101" s="4">
        <v>0</v>
      </c>
      <c r="R101" t="s">
        <v>34</v>
      </c>
      <c r="S101" t="s">
        <v>35</v>
      </c>
    </row>
    <row r="102" spans="1:19" x14ac:dyDescent="0.25">
      <c r="A102" t="s">
        <v>178</v>
      </c>
      <c r="B102" t="s">
        <v>179</v>
      </c>
      <c r="C102" t="s">
        <v>60</v>
      </c>
      <c r="D102" t="s">
        <v>61</v>
      </c>
      <c r="E102" t="s">
        <v>22</v>
      </c>
      <c r="F102" t="s">
        <v>23</v>
      </c>
      <c r="G102" t="s">
        <v>204</v>
      </c>
      <c r="H102" t="s">
        <v>205</v>
      </c>
      <c r="I102" s="3">
        <f>DATEVALUE("2023/10/11 00:00:00")</f>
        <v>45210</v>
      </c>
      <c r="J102" s="3">
        <f>DATEVALUE("2024/04/26 00:00:00")</f>
        <v>45408</v>
      </c>
      <c r="K102" s="3">
        <f>DATEVALUE("2024/05/03 00:00:00")</f>
        <v>45415</v>
      </c>
      <c r="L102" s="4">
        <v>42054.6</v>
      </c>
      <c r="M102" s="4">
        <v>0</v>
      </c>
      <c r="N102" t="s">
        <v>64</v>
      </c>
      <c r="O102" s="4">
        <v>20855.34</v>
      </c>
      <c r="P102" s="4">
        <v>20712.25</v>
      </c>
      <c r="Q102" s="4">
        <v>0</v>
      </c>
      <c r="R102" t="s">
        <v>34</v>
      </c>
      <c r="S102" t="s">
        <v>35</v>
      </c>
    </row>
    <row r="103" spans="1:19" x14ac:dyDescent="0.25">
      <c r="A103" t="s">
        <v>178</v>
      </c>
      <c r="B103" t="s">
        <v>179</v>
      </c>
      <c r="C103" t="s">
        <v>60</v>
      </c>
      <c r="D103" t="s">
        <v>61</v>
      </c>
      <c r="E103" t="s">
        <v>22</v>
      </c>
      <c r="F103" t="s">
        <v>23</v>
      </c>
      <c r="G103" t="s">
        <v>204</v>
      </c>
      <c r="H103" t="s">
        <v>205</v>
      </c>
      <c r="I103" s="3">
        <f>DATEVALUE("2023/10/11 00:00:00")</f>
        <v>45210</v>
      </c>
      <c r="J103" s="3">
        <f>DATEVALUE("2024/01/05 00:00:00")</f>
        <v>45296</v>
      </c>
      <c r="K103" s="3">
        <f>DATEVALUE("2024/05/03 00:00:00")</f>
        <v>45415</v>
      </c>
      <c r="L103" s="4">
        <v>1612.8</v>
      </c>
      <c r="M103" s="4">
        <v>0</v>
      </c>
      <c r="N103" t="s">
        <v>64</v>
      </c>
      <c r="O103" s="4">
        <v>532.79999999999995</v>
      </c>
      <c r="P103" s="4">
        <v>530.25</v>
      </c>
      <c r="Q103" s="4">
        <v>0</v>
      </c>
      <c r="R103" t="s">
        <v>34</v>
      </c>
      <c r="S103" t="s">
        <v>35</v>
      </c>
    </row>
    <row r="104" spans="1:19" x14ac:dyDescent="0.25">
      <c r="A104" t="s">
        <v>178</v>
      </c>
      <c r="B104" t="s">
        <v>179</v>
      </c>
      <c r="C104" t="s">
        <v>60</v>
      </c>
      <c r="D104" t="s">
        <v>61</v>
      </c>
      <c r="E104" t="s">
        <v>22</v>
      </c>
      <c r="F104" t="s">
        <v>23</v>
      </c>
      <c r="G104" t="s">
        <v>206</v>
      </c>
      <c r="H104" t="s">
        <v>207</v>
      </c>
      <c r="I104" s="3">
        <f>DATEVALUE("2023/10/12 00:00:00")</f>
        <v>45211</v>
      </c>
      <c r="J104" s="3">
        <f>DATEVALUE("2023/12/29 00:00:00")</f>
        <v>45289</v>
      </c>
      <c r="K104" s="3">
        <f>DATEVALUE("2024/01/05 00:00:00")</f>
        <v>45296</v>
      </c>
      <c r="L104" s="4">
        <v>710</v>
      </c>
      <c r="M104" s="4">
        <v>0</v>
      </c>
      <c r="N104" t="s">
        <v>64</v>
      </c>
      <c r="O104" s="4">
        <v>377</v>
      </c>
      <c r="P104" s="4">
        <v>390.08</v>
      </c>
      <c r="Q104" s="4">
        <v>0</v>
      </c>
      <c r="R104" t="s">
        <v>34</v>
      </c>
      <c r="S104" t="s">
        <v>35</v>
      </c>
    </row>
    <row r="105" spans="1:19" x14ac:dyDescent="0.25">
      <c r="A105" t="s">
        <v>178</v>
      </c>
      <c r="B105" t="s">
        <v>179</v>
      </c>
      <c r="C105" t="s">
        <v>60</v>
      </c>
      <c r="D105" t="s">
        <v>61</v>
      </c>
      <c r="E105" t="s">
        <v>22</v>
      </c>
      <c r="F105" t="s">
        <v>23</v>
      </c>
      <c r="G105" t="s">
        <v>208</v>
      </c>
      <c r="H105" t="s">
        <v>209</v>
      </c>
      <c r="I105" s="3">
        <f>DATEVALUE("2023/10/13 00:00:00")</f>
        <v>45212</v>
      </c>
      <c r="J105" s="3">
        <f>DATEVALUE("2024/04/26 00:00:00")</f>
        <v>45408</v>
      </c>
      <c r="K105" s="3">
        <f>DATEVALUE("2024/05/03 00:00:00")</f>
        <v>45415</v>
      </c>
      <c r="L105" s="4">
        <v>105731.1</v>
      </c>
      <c r="M105" s="4">
        <v>0</v>
      </c>
      <c r="N105" t="s">
        <v>64</v>
      </c>
      <c r="O105" s="4">
        <v>47680.34</v>
      </c>
      <c r="P105" s="4">
        <v>47897.81</v>
      </c>
      <c r="Q105" s="4">
        <v>0</v>
      </c>
      <c r="R105" t="s">
        <v>34</v>
      </c>
      <c r="S105" t="s">
        <v>35</v>
      </c>
    </row>
    <row r="106" spans="1:19" x14ac:dyDescent="0.25">
      <c r="A106" t="s">
        <v>178</v>
      </c>
      <c r="B106" t="s">
        <v>179</v>
      </c>
      <c r="C106" t="s">
        <v>60</v>
      </c>
      <c r="D106" t="s">
        <v>61</v>
      </c>
      <c r="E106" t="s">
        <v>22</v>
      </c>
      <c r="F106" t="s">
        <v>23</v>
      </c>
      <c r="G106" t="s">
        <v>210</v>
      </c>
      <c r="H106" t="s">
        <v>211</v>
      </c>
      <c r="I106" s="3">
        <f>DATEVALUE("2023/10/16 00:00:00")</f>
        <v>45215</v>
      </c>
      <c r="J106" s="3">
        <f>DATEVALUE("2024/01/17 00:00:00")</f>
        <v>45308</v>
      </c>
      <c r="K106" s="3">
        <f>DATEVALUE("2024/01/24 00:00:00")</f>
        <v>45315</v>
      </c>
      <c r="L106" s="4">
        <v>2064</v>
      </c>
      <c r="M106" s="4">
        <v>0</v>
      </c>
      <c r="N106" t="s">
        <v>64</v>
      </c>
      <c r="O106" s="4">
        <v>712.1</v>
      </c>
      <c r="P106" s="4">
        <v>709.53</v>
      </c>
      <c r="Q106" s="4">
        <v>0</v>
      </c>
      <c r="R106" t="s">
        <v>34</v>
      </c>
      <c r="S106" t="s">
        <v>35</v>
      </c>
    </row>
    <row r="107" spans="1:19" x14ac:dyDescent="0.25">
      <c r="A107" t="s">
        <v>178</v>
      </c>
      <c r="B107" t="s">
        <v>179</v>
      </c>
      <c r="C107" t="s">
        <v>60</v>
      </c>
      <c r="D107" t="s">
        <v>61</v>
      </c>
      <c r="E107" t="s">
        <v>22</v>
      </c>
      <c r="F107" t="s">
        <v>23</v>
      </c>
      <c r="G107" t="s">
        <v>212</v>
      </c>
      <c r="H107" t="s">
        <v>213</v>
      </c>
      <c r="I107" s="3">
        <f>DATEVALUE("2023/10/17 00:00:00")</f>
        <v>45216</v>
      </c>
      <c r="J107" s="3">
        <f>DATEVALUE("2024/05/03 00:00:00")</f>
        <v>45415</v>
      </c>
      <c r="K107" s="3">
        <f t="shared" ref="K107:K112" si="1">DATEVALUE("2024/05/10 00:00:00")</f>
        <v>45422</v>
      </c>
      <c r="L107" s="4">
        <v>15882.48</v>
      </c>
      <c r="M107" s="4">
        <v>0</v>
      </c>
      <c r="N107" t="s">
        <v>64</v>
      </c>
      <c r="O107" s="4">
        <v>7830.39</v>
      </c>
      <c r="P107" s="4">
        <v>8173.44</v>
      </c>
      <c r="Q107" s="4">
        <v>0</v>
      </c>
      <c r="R107" t="s">
        <v>34</v>
      </c>
      <c r="S107" t="s">
        <v>35</v>
      </c>
    </row>
    <row r="108" spans="1:19" x14ac:dyDescent="0.25">
      <c r="A108" t="s">
        <v>178</v>
      </c>
      <c r="B108" t="s">
        <v>179</v>
      </c>
      <c r="C108" t="s">
        <v>60</v>
      </c>
      <c r="D108" t="s">
        <v>61</v>
      </c>
      <c r="E108" t="s">
        <v>22</v>
      </c>
      <c r="F108" t="s">
        <v>23</v>
      </c>
      <c r="G108" t="s">
        <v>214</v>
      </c>
      <c r="H108" t="s">
        <v>215</v>
      </c>
      <c r="I108" s="3">
        <f>DATEVALUE("2023/10/23 00:00:00")</f>
        <v>45222</v>
      </c>
      <c r="J108" s="3">
        <f>DATEVALUE("2024/05/03 00:00:00")</f>
        <v>45415</v>
      </c>
      <c r="K108" s="3">
        <f t="shared" si="1"/>
        <v>45422</v>
      </c>
      <c r="L108" s="4">
        <v>5557.44</v>
      </c>
      <c r="M108" s="4">
        <v>0</v>
      </c>
      <c r="N108" t="s">
        <v>64</v>
      </c>
      <c r="O108" s="4">
        <v>2300.04</v>
      </c>
      <c r="P108" s="4">
        <v>2329.59</v>
      </c>
      <c r="Q108" s="4">
        <v>0</v>
      </c>
      <c r="R108" t="s">
        <v>34</v>
      </c>
      <c r="S108" t="s">
        <v>35</v>
      </c>
    </row>
    <row r="109" spans="1:19" x14ac:dyDescent="0.25">
      <c r="A109" t="s">
        <v>178</v>
      </c>
      <c r="B109" t="s">
        <v>179</v>
      </c>
      <c r="C109" t="s">
        <v>60</v>
      </c>
      <c r="D109" t="s">
        <v>61</v>
      </c>
      <c r="E109" t="s">
        <v>22</v>
      </c>
      <c r="F109" t="s">
        <v>23</v>
      </c>
      <c r="G109" t="s">
        <v>216</v>
      </c>
      <c r="H109" t="s">
        <v>217</v>
      </c>
      <c r="I109" s="3">
        <f>DATEVALUE("2023/10/23 00:00:00")</f>
        <v>45222</v>
      </c>
      <c r="J109" s="3">
        <f>DATEVALUE("2024/05/03 00:00:00")</f>
        <v>45415</v>
      </c>
      <c r="K109" s="3">
        <f t="shared" si="1"/>
        <v>45422</v>
      </c>
      <c r="L109" s="4">
        <v>7941.2</v>
      </c>
      <c r="M109" s="4">
        <v>0</v>
      </c>
      <c r="N109" t="s">
        <v>64</v>
      </c>
      <c r="O109" s="4">
        <v>3166.16</v>
      </c>
      <c r="P109" s="4">
        <v>3253.08</v>
      </c>
      <c r="Q109" s="4">
        <v>0</v>
      </c>
      <c r="R109" t="s">
        <v>34</v>
      </c>
      <c r="S109" t="s">
        <v>35</v>
      </c>
    </row>
    <row r="110" spans="1:19" x14ac:dyDescent="0.25">
      <c r="A110" t="s">
        <v>178</v>
      </c>
      <c r="B110" t="s">
        <v>179</v>
      </c>
      <c r="C110" t="s">
        <v>60</v>
      </c>
      <c r="D110" t="s">
        <v>61</v>
      </c>
      <c r="E110" t="s">
        <v>22</v>
      </c>
      <c r="F110" t="s">
        <v>23</v>
      </c>
      <c r="G110" t="s">
        <v>216</v>
      </c>
      <c r="H110" t="s">
        <v>217</v>
      </c>
      <c r="I110" s="3">
        <f>DATEVALUE("2023/10/23 00:00:00")</f>
        <v>45222</v>
      </c>
      <c r="J110" s="3">
        <f>DATEVALUE("2024/01/19 00:00:00")</f>
        <v>45310</v>
      </c>
      <c r="K110" s="3">
        <f t="shared" si="1"/>
        <v>45422</v>
      </c>
      <c r="L110" s="4">
        <v>828</v>
      </c>
      <c r="M110" s="4">
        <v>0</v>
      </c>
      <c r="N110" t="s">
        <v>64</v>
      </c>
      <c r="O110" s="4">
        <v>408</v>
      </c>
      <c r="P110" s="4">
        <v>413.6</v>
      </c>
      <c r="Q110" s="4">
        <v>0</v>
      </c>
      <c r="R110" t="s">
        <v>34</v>
      </c>
      <c r="S110" t="s">
        <v>35</v>
      </c>
    </row>
    <row r="111" spans="1:19" x14ac:dyDescent="0.25">
      <c r="A111" t="s">
        <v>178</v>
      </c>
      <c r="B111" t="s">
        <v>179</v>
      </c>
      <c r="C111" t="s">
        <v>60</v>
      </c>
      <c r="D111" t="s">
        <v>61</v>
      </c>
      <c r="E111" t="s">
        <v>22</v>
      </c>
      <c r="F111" t="s">
        <v>23</v>
      </c>
      <c r="G111" t="s">
        <v>218</v>
      </c>
      <c r="H111" t="s">
        <v>219</v>
      </c>
      <c r="I111" s="3">
        <f>DATEVALUE("2023/10/23 00:00:00")</f>
        <v>45222</v>
      </c>
      <c r="J111" s="3">
        <f>DATEVALUE("2024/05/03 00:00:00")</f>
        <v>45415</v>
      </c>
      <c r="K111" s="3">
        <f t="shared" si="1"/>
        <v>45422</v>
      </c>
      <c r="L111" s="4">
        <v>40595.699999999997</v>
      </c>
      <c r="M111" s="4">
        <v>0</v>
      </c>
      <c r="N111" t="s">
        <v>64</v>
      </c>
      <c r="O111" s="4">
        <v>19741.189999999999</v>
      </c>
      <c r="P111" s="4">
        <v>20303.93</v>
      </c>
      <c r="Q111" s="4">
        <v>0</v>
      </c>
      <c r="R111" t="s">
        <v>34</v>
      </c>
      <c r="S111" t="s">
        <v>35</v>
      </c>
    </row>
    <row r="112" spans="1:19" x14ac:dyDescent="0.25">
      <c r="A112" t="s">
        <v>178</v>
      </c>
      <c r="B112" t="s">
        <v>179</v>
      </c>
      <c r="C112" t="s">
        <v>60</v>
      </c>
      <c r="D112" t="s">
        <v>61</v>
      </c>
      <c r="E112" t="s">
        <v>22</v>
      </c>
      <c r="F112" t="s">
        <v>23</v>
      </c>
      <c r="G112" t="s">
        <v>218</v>
      </c>
      <c r="H112" t="s">
        <v>219</v>
      </c>
      <c r="I112" s="3">
        <f>DATEVALUE("2023/10/23 00:00:00")</f>
        <v>45222</v>
      </c>
      <c r="J112" s="3">
        <f>DATEVALUE("2024/01/31 00:00:00")</f>
        <v>45322</v>
      </c>
      <c r="K112" s="3">
        <f t="shared" si="1"/>
        <v>45422</v>
      </c>
      <c r="L112" s="4">
        <v>1780.45</v>
      </c>
      <c r="M112" s="4">
        <v>0</v>
      </c>
      <c r="N112" t="s">
        <v>64</v>
      </c>
      <c r="O112" s="4">
        <v>953.98</v>
      </c>
      <c r="P112" s="4">
        <v>960.58</v>
      </c>
      <c r="Q112" s="4">
        <v>0</v>
      </c>
      <c r="R112" t="s">
        <v>34</v>
      </c>
      <c r="S112" t="s">
        <v>35</v>
      </c>
    </row>
    <row r="113" spans="1:19" x14ac:dyDescent="0.25">
      <c r="A113" t="s">
        <v>178</v>
      </c>
      <c r="B113" t="s">
        <v>179</v>
      </c>
      <c r="C113" t="s">
        <v>60</v>
      </c>
      <c r="D113" t="s">
        <v>61</v>
      </c>
      <c r="E113" t="s">
        <v>22</v>
      </c>
      <c r="F113" t="s">
        <v>23</v>
      </c>
      <c r="G113" t="s">
        <v>220</v>
      </c>
      <c r="H113" t="s">
        <v>221</v>
      </c>
      <c r="I113" s="3">
        <f>DATEVALUE("2023/10/31 00:00:00")</f>
        <v>45230</v>
      </c>
      <c r="J113" s="3">
        <f>DATEVALUE("2024/05/10 00:00:00")</f>
        <v>45422</v>
      </c>
      <c r="K113" s="3">
        <f>DATEVALUE("2024/05/17 00:00:00")</f>
        <v>45429</v>
      </c>
      <c r="L113" s="4">
        <v>3328</v>
      </c>
      <c r="M113" s="4">
        <v>0</v>
      </c>
      <c r="N113" t="s">
        <v>64</v>
      </c>
      <c r="O113" s="4">
        <v>1715.5</v>
      </c>
      <c r="P113" s="4">
        <v>1818.45</v>
      </c>
      <c r="Q113" s="4">
        <v>0</v>
      </c>
      <c r="R113" t="s">
        <v>34</v>
      </c>
      <c r="S113" t="s">
        <v>35</v>
      </c>
    </row>
    <row r="114" spans="1:19" x14ac:dyDescent="0.25">
      <c r="A114" t="s">
        <v>178</v>
      </c>
      <c r="B114" t="s">
        <v>179</v>
      </c>
      <c r="C114" t="s">
        <v>60</v>
      </c>
      <c r="D114" t="s">
        <v>61</v>
      </c>
      <c r="E114" t="s">
        <v>22</v>
      </c>
      <c r="F114" t="s">
        <v>23</v>
      </c>
      <c r="G114" t="s">
        <v>222</v>
      </c>
      <c r="H114" t="s">
        <v>223</v>
      </c>
      <c r="I114" s="3">
        <f>DATEVALUE("2023/11/16 00:00:00")</f>
        <v>45246</v>
      </c>
      <c r="J114" s="3">
        <f>DATEVALUE("2024/05/24 00:00:00")</f>
        <v>45436</v>
      </c>
      <c r="K114" s="3">
        <f>DATEVALUE("2024/05/31 00:00:00")</f>
        <v>45443</v>
      </c>
      <c r="L114" s="4">
        <v>54314.3</v>
      </c>
      <c r="M114" s="4">
        <v>0</v>
      </c>
      <c r="N114" t="s">
        <v>64</v>
      </c>
      <c r="O114" s="4">
        <v>26816.6</v>
      </c>
      <c r="P114" s="4">
        <v>26724.52</v>
      </c>
      <c r="Q114" s="4">
        <v>0</v>
      </c>
      <c r="R114" t="s">
        <v>34</v>
      </c>
      <c r="S114" t="s">
        <v>35</v>
      </c>
    </row>
    <row r="115" spans="1:19" x14ac:dyDescent="0.25">
      <c r="A115" t="s">
        <v>178</v>
      </c>
      <c r="B115" t="s">
        <v>179</v>
      </c>
      <c r="C115" t="s">
        <v>60</v>
      </c>
      <c r="D115" t="s">
        <v>61</v>
      </c>
      <c r="E115" t="s">
        <v>22</v>
      </c>
      <c r="F115" t="s">
        <v>23</v>
      </c>
      <c r="G115" t="s">
        <v>224</v>
      </c>
      <c r="H115" t="s">
        <v>225</v>
      </c>
      <c r="I115" s="3">
        <f>DATEVALUE("2023/12/05 00:00:00")</f>
        <v>45265</v>
      </c>
      <c r="J115" s="3">
        <f>DATEVALUE("2024/07/26 00:00:00")</f>
        <v>45499</v>
      </c>
      <c r="K115" s="3">
        <f>DATEVALUE("2024/08/02 00:00:00")</f>
        <v>45506</v>
      </c>
      <c r="L115" s="4">
        <v>6017.94</v>
      </c>
      <c r="M115" s="4">
        <v>0</v>
      </c>
      <c r="N115" t="s">
        <v>64</v>
      </c>
      <c r="O115" s="4">
        <v>3037.95</v>
      </c>
      <c r="P115" s="4">
        <v>3129.6</v>
      </c>
      <c r="Q115" s="4">
        <v>0</v>
      </c>
      <c r="R115" t="s">
        <v>34</v>
      </c>
      <c r="S115" t="s">
        <v>35</v>
      </c>
    </row>
    <row r="116" spans="1:19" x14ac:dyDescent="0.25">
      <c r="A116" t="s">
        <v>178</v>
      </c>
      <c r="B116" t="s">
        <v>179</v>
      </c>
      <c r="C116" t="s">
        <v>60</v>
      </c>
      <c r="D116" t="s">
        <v>61</v>
      </c>
      <c r="E116" t="s">
        <v>22</v>
      </c>
      <c r="F116" t="s">
        <v>23</v>
      </c>
      <c r="G116" t="s">
        <v>226</v>
      </c>
      <c r="H116" t="s">
        <v>227</v>
      </c>
      <c r="I116" s="3">
        <f>DATEVALUE("2023/12/05 00:00:00")</f>
        <v>45265</v>
      </c>
      <c r="J116" s="3">
        <f>DATEVALUE("2024/06/14 00:00:00")</f>
        <v>45457</v>
      </c>
      <c r="K116" s="3">
        <f>DATEVALUE("2024/06/21 00:00:00")</f>
        <v>45464</v>
      </c>
      <c r="L116" s="4">
        <v>12273.85</v>
      </c>
      <c r="M116" s="4">
        <v>0</v>
      </c>
      <c r="N116" t="s">
        <v>64</v>
      </c>
      <c r="O116" s="4">
        <v>5777.36</v>
      </c>
      <c r="P116" s="4">
        <v>5893.5</v>
      </c>
      <c r="Q116" s="4">
        <v>0</v>
      </c>
      <c r="R116" t="s">
        <v>34</v>
      </c>
      <c r="S116" t="s">
        <v>35</v>
      </c>
    </row>
    <row r="117" spans="1:19" x14ac:dyDescent="0.25">
      <c r="A117" t="s">
        <v>178</v>
      </c>
      <c r="B117" t="s">
        <v>179</v>
      </c>
      <c r="C117" t="s">
        <v>60</v>
      </c>
      <c r="D117" t="s">
        <v>61</v>
      </c>
      <c r="E117" t="s">
        <v>22</v>
      </c>
      <c r="F117" t="s">
        <v>23</v>
      </c>
      <c r="G117" t="s">
        <v>228</v>
      </c>
      <c r="H117" t="s">
        <v>229</v>
      </c>
      <c r="I117" s="3">
        <f>DATEVALUE("2023/12/11 00:00:00")</f>
        <v>45271</v>
      </c>
      <c r="J117" s="3">
        <f>DATEVALUE("2024/03/29 00:00:00")</f>
        <v>45380</v>
      </c>
      <c r="K117" s="3">
        <f>DATEVALUE("2024/04/05 00:00:00")</f>
        <v>45387</v>
      </c>
      <c r="L117" s="4">
        <v>1390</v>
      </c>
      <c r="M117" s="4">
        <v>0</v>
      </c>
      <c r="N117" t="s">
        <v>64</v>
      </c>
      <c r="O117" s="4">
        <v>670</v>
      </c>
      <c r="P117" s="4">
        <v>679.9</v>
      </c>
      <c r="Q117" s="4">
        <v>0</v>
      </c>
      <c r="R117" t="s">
        <v>34</v>
      </c>
      <c r="S117" t="s">
        <v>35</v>
      </c>
    </row>
    <row r="118" spans="1:19" x14ac:dyDescent="0.25">
      <c r="A118" t="s">
        <v>178</v>
      </c>
      <c r="B118" t="s">
        <v>179</v>
      </c>
      <c r="C118" t="s">
        <v>60</v>
      </c>
      <c r="D118" t="s">
        <v>61</v>
      </c>
      <c r="E118" t="s">
        <v>22</v>
      </c>
      <c r="F118" t="s">
        <v>23</v>
      </c>
      <c r="G118" t="s">
        <v>230</v>
      </c>
      <c r="H118" t="s">
        <v>231</v>
      </c>
      <c r="I118" s="3">
        <f>DATEVALUE("2023/12/12 00:00:00")</f>
        <v>45272</v>
      </c>
      <c r="J118" s="3">
        <f>DATEVALUE("2024/01/31 00:00:00")</f>
        <v>45322</v>
      </c>
      <c r="K118" s="3">
        <f>DATEVALUE("2024/02/07 00:00:00")</f>
        <v>45329</v>
      </c>
      <c r="L118" s="4">
        <v>1082.8800000000001</v>
      </c>
      <c r="M118" s="4">
        <v>0</v>
      </c>
      <c r="N118" t="s">
        <v>64</v>
      </c>
      <c r="O118" s="4">
        <v>375.55</v>
      </c>
      <c r="P118" s="4">
        <v>397.32</v>
      </c>
      <c r="Q118" s="4">
        <v>0</v>
      </c>
      <c r="R118" t="s">
        <v>34</v>
      </c>
      <c r="S118" t="s">
        <v>35</v>
      </c>
    </row>
    <row r="119" spans="1:19" x14ac:dyDescent="0.25">
      <c r="A119" t="s">
        <v>178</v>
      </c>
      <c r="B119" t="s">
        <v>179</v>
      </c>
      <c r="C119" t="s">
        <v>60</v>
      </c>
      <c r="D119" t="s">
        <v>61</v>
      </c>
      <c r="E119" t="s">
        <v>22</v>
      </c>
      <c r="F119" t="s">
        <v>23</v>
      </c>
      <c r="G119" t="s">
        <v>232</v>
      </c>
      <c r="H119" t="s">
        <v>233</v>
      </c>
      <c r="I119" s="3">
        <f>DATEVALUE("2023/12/13 00:00:00")</f>
        <v>45273</v>
      </c>
      <c r="J119" s="3">
        <f>DATEVALUE("2024/06/28 00:00:00")</f>
        <v>45471</v>
      </c>
      <c r="K119" s="3">
        <f>DATEVALUE("2024/07/05 00:00:00")</f>
        <v>45478</v>
      </c>
      <c r="L119" s="4">
        <v>34857.9</v>
      </c>
      <c r="M119" s="4">
        <v>0</v>
      </c>
      <c r="N119" t="s">
        <v>64</v>
      </c>
      <c r="O119" s="4">
        <v>16735.62</v>
      </c>
      <c r="P119" s="4">
        <v>16688.68</v>
      </c>
      <c r="Q119" s="4">
        <v>0</v>
      </c>
      <c r="R119" t="s">
        <v>34</v>
      </c>
      <c r="S119" t="s">
        <v>35</v>
      </c>
    </row>
    <row r="120" spans="1:19" x14ac:dyDescent="0.25">
      <c r="A120" t="s">
        <v>178</v>
      </c>
      <c r="B120" t="s">
        <v>179</v>
      </c>
      <c r="C120" t="s">
        <v>60</v>
      </c>
      <c r="D120" t="s">
        <v>61</v>
      </c>
      <c r="E120" t="s">
        <v>22</v>
      </c>
      <c r="F120" t="s">
        <v>23</v>
      </c>
      <c r="G120" t="s">
        <v>234</v>
      </c>
      <c r="H120" t="s">
        <v>235</v>
      </c>
      <c r="I120" s="3">
        <f>DATEVALUE("2024/01/18 00:00:00")</f>
        <v>45309</v>
      </c>
      <c r="J120" s="3">
        <f>DATEVALUE("2024/04/23 00:00:00")</f>
        <v>45405</v>
      </c>
      <c r="K120" s="3">
        <f>DATEVALUE("2024/04/30 00:00:00")</f>
        <v>45412</v>
      </c>
      <c r="L120" s="4">
        <v>840</v>
      </c>
      <c r="M120" s="4">
        <v>0</v>
      </c>
      <c r="N120" t="s">
        <v>64</v>
      </c>
      <c r="O120" s="4">
        <v>566</v>
      </c>
      <c r="P120" s="4">
        <v>594.66</v>
      </c>
      <c r="Q120" s="4">
        <v>0</v>
      </c>
      <c r="R120" t="s">
        <v>34</v>
      </c>
      <c r="S120" t="s">
        <v>35</v>
      </c>
    </row>
    <row r="121" spans="1:19" x14ac:dyDescent="0.25">
      <c r="A121" t="s">
        <v>178</v>
      </c>
      <c r="B121" t="s">
        <v>179</v>
      </c>
      <c r="C121" t="s">
        <v>60</v>
      </c>
      <c r="D121" t="s">
        <v>61</v>
      </c>
      <c r="E121" t="s">
        <v>22</v>
      </c>
      <c r="F121" t="s">
        <v>23</v>
      </c>
      <c r="G121" t="s">
        <v>234</v>
      </c>
      <c r="H121" t="s">
        <v>235</v>
      </c>
      <c r="I121" s="3">
        <f>DATEVALUE("2024/01/18 00:00:00")</f>
        <v>45309</v>
      </c>
      <c r="J121" s="3">
        <f>DATEVALUE("2024/06/07 00:00:00")</f>
        <v>45450</v>
      </c>
      <c r="K121" s="3">
        <f>DATEVALUE("2024/08/02 00:00:00")</f>
        <v>45506</v>
      </c>
      <c r="L121" s="4">
        <v>7229.1</v>
      </c>
      <c r="M121" s="4">
        <v>0</v>
      </c>
      <c r="N121" t="s">
        <v>64</v>
      </c>
      <c r="O121" s="4">
        <v>4269.1400000000003</v>
      </c>
      <c r="P121" s="4">
        <v>4467.28</v>
      </c>
      <c r="Q121" s="4">
        <v>0</v>
      </c>
      <c r="R121" t="s">
        <v>34</v>
      </c>
      <c r="S121" t="s">
        <v>35</v>
      </c>
    </row>
    <row r="122" spans="1:19" x14ac:dyDescent="0.25">
      <c r="A122" t="s">
        <v>178</v>
      </c>
      <c r="B122" t="s">
        <v>179</v>
      </c>
      <c r="C122" t="s">
        <v>60</v>
      </c>
      <c r="D122" t="s">
        <v>61</v>
      </c>
      <c r="E122" t="s">
        <v>22</v>
      </c>
      <c r="F122" t="s">
        <v>23</v>
      </c>
      <c r="G122" t="s">
        <v>234</v>
      </c>
      <c r="H122" t="s">
        <v>235</v>
      </c>
      <c r="I122" s="3">
        <f>DATEVALUE("2024/01/18 00:00:00")</f>
        <v>45309</v>
      </c>
      <c r="J122" s="3">
        <f>DATEVALUE("2024/07/26 00:00:00")</f>
        <v>45499</v>
      </c>
      <c r="K122" s="3">
        <f>DATEVALUE("2024/08/02 00:00:00")</f>
        <v>45506</v>
      </c>
      <c r="L122" s="4">
        <v>20815.2</v>
      </c>
      <c r="M122" s="4">
        <v>0</v>
      </c>
      <c r="N122" t="s">
        <v>64</v>
      </c>
      <c r="O122" s="4">
        <v>12546.41</v>
      </c>
      <c r="P122" s="4">
        <v>12896.42</v>
      </c>
      <c r="Q122" s="4">
        <v>0</v>
      </c>
      <c r="R122" t="s">
        <v>34</v>
      </c>
      <c r="S122" t="s">
        <v>35</v>
      </c>
    </row>
    <row r="123" spans="1:19" x14ac:dyDescent="0.25">
      <c r="A123" t="s">
        <v>178</v>
      </c>
      <c r="B123" t="s">
        <v>179</v>
      </c>
      <c r="C123" t="s">
        <v>60</v>
      </c>
      <c r="D123" t="s">
        <v>61</v>
      </c>
      <c r="E123" t="s">
        <v>22</v>
      </c>
      <c r="F123" t="s">
        <v>23</v>
      </c>
      <c r="G123" t="s">
        <v>236</v>
      </c>
      <c r="H123" t="s">
        <v>237</v>
      </c>
      <c r="I123" s="3">
        <f>DATEVALUE("2024/01/23 00:00:00")</f>
        <v>45314</v>
      </c>
      <c r="J123" s="3">
        <f>DATEVALUE("2024/07/26 00:00:00")</f>
        <v>45499</v>
      </c>
      <c r="K123" s="3">
        <f>DATEVALUE("2024/08/02 00:00:00")</f>
        <v>45506</v>
      </c>
      <c r="L123" s="4">
        <v>10841.16</v>
      </c>
      <c r="M123" s="4">
        <v>0</v>
      </c>
      <c r="N123" t="s">
        <v>64</v>
      </c>
      <c r="O123" s="4">
        <v>5596.37</v>
      </c>
      <c r="P123" s="4">
        <v>5800.71</v>
      </c>
      <c r="Q123" s="4">
        <v>0</v>
      </c>
      <c r="R123" t="s">
        <v>34</v>
      </c>
      <c r="S123" t="s">
        <v>35</v>
      </c>
    </row>
    <row r="124" spans="1:19" x14ac:dyDescent="0.25">
      <c r="A124" t="s">
        <v>178</v>
      </c>
      <c r="B124" t="s">
        <v>179</v>
      </c>
      <c r="C124" t="s">
        <v>60</v>
      </c>
      <c r="D124" t="s">
        <v>61</v>
      </c>
      <c r="E124" t="s">
        <v>22</v>
      </c>
      <c r="F124" t="s">
        <v>23</v>
      </c>
      <c r="G124" t="s">
        <v>238</v>
      </c>
      <c r="H124" t="s">
        <v>239</v>
      </c>
      <c r="I124" s="3">
        <f>DATEVALUE("2024/01/23 00:00:00")</f>
        <v>45314</v>
      </c>
      <c r="J124" s="3">
        <f>DATEVALUE("2024/08/02 00:00:00")</f>
        <v>45506</v>
      </c>
      <c r="K124" s="3">
        <f>DATEVALUE("2024/08/09 00:00:00")</f>
        <v>45513</v>
      </c>
      <c r="L124" s="4">
        <v>72425.8</v>
      </c>
      <c r="M124" s="4">
        <v>0</v>
      </c>
      <c r="N124" t="s">
        <v>64</v>
      </c>
      <c r="O124" s="4">
        <v>35016.82</v>
      </c>
      <c r="P124" s="4">
        <v>34843.94</v>
      </c>
      <c r="Q124" s="4">
        <v>0</v>
      </c>
      <c r="R124" t="s">
        <v>34</v>
      </c>
      <c r="S124" t="s">
        <v>35</v>
      </c>
    </row>
    <row r="125" spans="1:19" x14ac:dyDescent="0.25">
      <c r="A125" t="s">
        <v>178</v>
      </c>
      <c r="B125" t="s">
        <v>179</v>
      </c>
      <c r="C125" t="s">
        <v>60</v>
      </c>
      <c r="D125" t="s">
        <v>61</v>
      </c>
      <c r="E125" t="s">
        <v>22</v>
      </c>
      <c r="F125" t="s">
        <v>23</v>
      </c>
      <c r="G125" t="s">
        <v>240</v>
      </c>
      <c r="H125" t="s">
        <v>241</v>
      </c>
      <c r="I125" s="3">
        <f>DATEVALUE("2024/01/25 00:00:00")</f>
        <v>45316</v>
      </c>
      <c r="J125" s="3">
        <f>DATEVALUE("2024/07/26 00:00:00")</f>
        <v>45499</v>
      </c>
      <c r="K125" s="3">
        <f>DATEVALUE("2024/08/02 00:00:00")</f>
        <v>45506</v>
      </c>
      <c r="L125" s="4">
        <v>7652.22</v>
      </c>
      <c r="M125" s="4">
        <v>0</v>
      </c>
      <c r="N125" t="s">
        <v>64</v>
      </c>
      <c r="O125" s="4">
        <v>3507.75</v>
      </c>
      <c r="P125" s="4">
        <v>3562.57</v>
      </c>
      <c r="Q125" s="4">
        <v>0</v>
      </c>
      <c r="R125" t="s">
        <v>34</v>
      </c>
      <c r="S125" t="s">
        <v>35</v>
      </c>
    </row>
    <row r="126" spans="1:19" x14ac:dyDescent="0.25">
      <c r="A126" t="s">
        <v>178</v>
      </c>
      <c r="B126" t="s">
        <v>179</v>
      </c>
      <c r="C126" t="s">
        <v>60</v>
      </c>
      <c r="D126" t="s">
        <v>61</v>
      </c>
      <c r="E126" t="s">
        <v>22</v>
      </c>
      <c r="F126" t="s">
        <v>23</v>
      </c>
      <c r="G126" t="s">
        <v>242</v>
      </c>
      <c r="H126" t="s">
        <v>243</v>
      </c>
      <c r="I126" s="3">
        <f>DATEVALUE("2024/02/05 00:00:00")</f>
        <v>45327</v>
      </c>
      <c r="J126" s="3">
        <f>DATEVALUE("2024/08/16 00:00:00")</f>
        <v>45520</v>
      </c>
      <c r="K126" s="3">
        <f>DATEVALUE("2024/08/23 00:00:00")</f>
        <v>45527</v>
      </c>
      <c r="L126" s="4">
        <v>8311.02</v>
      </c>
      <c r="M126" s="4">
        <v>0</v>
      </c>
      <c r="N126" t="s">
        <v>64</v>
      </c>
      <c r="O126" s="4">
        <v>3650.88</v>
      </c>
      <c r="P126" s="4">
        <v>3786.88</v>
      </c>
      <c r="Q126" s="4">
        <v>0</v>
      </c>
      <c r="R126" t="s">
        <v>34</v>
      </c>
      <c r="S126" t="s">
        <v>35</v>
      </c>
    </row>
    <row r="127" spans="1:19" x14ac:dyDescent="0.25">
      <c r="A127" t="s">
        <v>178</v>
      </c>
      <c r="B127" t="s">
        <v>179</v>
      </c>
      <c r="C127" t="s">
        <v>60</v>
      </c>
      <c r="D127" t="s">
        <v>61</v>
      </c>
      <c r="E127" t="s">
        <v>22</v>
      </c>
      <c r="F127" t="s">
        <v>23</v>
      </c>
      <c r="G127" t="s">
        <v>244</v>
      </c>
      <c r="H127" t="s">
        <v>245</v>
      </c>
      <c r="I127" s="3">
        <f>DATEVALUE("2024/02/05 00:00:00")</f>
        <v>45327</v>
      </c>
      <c r="J127" s="3">
        <f>DATEVALUE("2024/08/16 00:00:00")</f>
        <v>45520</v>
      </c>
      <c r="K127" s="3">
        <f>DATEVALUE("2024/08/23 00:00:00")</f>
        <v>45527</v>
      </c>
      <c r="L127" s="4">
        <v>28588.84</v>
      </c>
      <c r="M127" s="4">
        <v>0</v>
      </c>
      <c r="N127" t="s">
        <v>64</v>
      </c>
      <c r="O127" s="4">
        <v>14304.71</v>
      </c>
      <c r="P127" s="4">
        <v>14777.91</v>
      </c>
      <c r="Q127" s="4">
        <v>0</v>
      </c>
      <c r="R127" t="s">
        <v>34</v>
      </c>
      <c r="S127" t="s">
        <v>35</v>
      </c>
    </row>
    <row r="128" spans="1:19" x14ac:dyDescent="0.25">
      <c r="A128" t="s">
        <v>178</v>
      </c>
      <c r="B128" t="s">
        <v>179</v>
      </c>
      <c r="C128" t="s">
        <v>60</v>
      </c>
      <c r="D128" t="s">
        <v>61</v>
      </c>
      <c r="E128" t="s">
        <v>22</v>
      </c>
      <c r="F128" t="s">
        <v>23</v>
      </c>
      <c r="G128" t="s">
        <v>246</v>
      </c>
      <c r="H128" t="s">
        <v>247</v>
      </c>
      <c r="I128" s="3">
        <f>DATEVALUE("2024/02/05 00:00:00")</f>
        <v>45327</v>
      </c>
      <c r="J128" s="3">
        <f>DATEVALUE("2024/08/16 00:00:00")</f>
        <v>45520</v>
      </c>
      <c r="K128" s="3">
        <f>DATEVALUE("2024/08/23 00:00:00")</f>
        <v>45527</v>
      </c>
      <c r="L128" s="4">
        <v>52104.3</v>
      </c>
      <c r="M128" s="4">
        <v>0</v>
      </c>
      <c r="N128" t="s">
        <v>64</v>
      </c>
      <c r="O128" s="4">
        <v>25352.48</v>
      </c>
      <c r="P128" s="4">
        <v>24876.51</v>
      </c>
      <c r="Q128" s="4">
        <v>0</v>
      </c>
      <c r="R128" t="s">
        <v>34</v>
      </c>
      <c r="S128" t="s">
        <v>35</v>
      </c>
    </row>
    <row r="129" spans="1:19" x14ac:dyDescent="0.25">
      <c r="A129" t="s">
        <v>178</v>
      </c>
      <c r="B129" t="s">
        <v>179</v>
      </c>
      <c r="C129" t="s">
        <v>60</v>
      </c>
      <c r="D129" t="s">
        <v>61</v>
      </c>
      <c r="E129" t="s">
        <v>22</v>
      </c>
      <c r="F129" t="s">
        <v>23</v>
      </c>
      <c r="G129" t="s">
        <v>248</v>
      </c>
      <c r="H129" t="s">
        <v>249</v>
      </c>
      <c r="I129" s="3">
        <f>DATEVALUE("2024/02/07 00:00:00")</f>
        <v>45329</v>
      </c>
      <c r="J129" s="3">
        <f>DATEVALUE("2024/07/12 00:00:00")</f>
        <v>45485</v>
      </c>
      <c r="K129" s="3">
        <f>DATEVALUE("2024/07/19 00:00:00")</f>
        <v>45492</v>
      </c>
      <c r="L129" s="4">
        <v>1332.5</v>
      </c>
      <c r="M129" s="4">
        <v>0</v>
      </c>
      <c r="N129" t="s">
        <v>64</v>
      </c>
      <c r="O129" s="4">
        <v>356.7</v>
      </c>
      <c r="P129" s="4">
        <v>345.78</v>
      </c>
      <c r="Q129" s="4">
        <v>0</v>
      </c>
      <c r="R129" t="s">
        <v>34</v>
      </c>
      <c r="S129" t="s">
        <v>35</v>
      </c>
    </row>
    <row r="130" spans="1:19" x14ac:dyDescent="0.25">
      <c r="A130" t="s">
        <v>178</v>
      </c>
      <c r="B130" t="s">
        <v>179</v>
      </c>
      <c r="C130" t="s">
        <v>250</v>
      </c>
      <c r="D130" t="s">
        <v>251</v>
      </c>
      <c r="E130" t="s">
        <v>22</v>
      </c>
      <c r="F130" t="s">
        <v>23</v>
      </c>
      <c r="G130" t="s">
        <v>252</v>
      </c>
      <c r="H130" t="s">
        <v>253</v>
      </c>
      <c r="I130" s="3">
        <f>DATEVALUE("2024/01/03 00:00:00")</f>
        <v>45294</v>
      </c>
      <c r="J130" s="3">
        <f>DATEVALUE("2024/04/08 00:00:00")</f>
        <v>45390</v>
      </c>
      <c r="K130" s="3">
        <f>DATEVALUE("2024/04/15 00:00:00")</f>
        <v>45397</v>
      </c>
      <c r="L130" s="4">
        <v>3863.8</v>
      </c>
      <c r="M130" s="4">
        <v>0</v>
      </c>
      <c r="N130" t="s">
        <v>26</v>
      </c>
      <c r="O130" s="4">
        <v>1778.4</v>
      </c>
      <c r="P130" s="4">
        <v>1775.05</v>
      </c>
      <c r="Q130" s="4">
        <v>0</v>
      </c>
      <c r="R130" t="s">
        <v>34</v>
      </c>
      <c r="S130" t="s">
        <v>35</v>
      </c>
    </row>
    <row r="131" spans="1:19" x14ac:dyDescent="0.25">
      <c r="A131" t="s">
        <v>178</v>
      </c>
      <c r="B131" t="s">
        <v>179</v>
      </c>
      <c r="C131" t="s">
        <v>250</v>
      </c>
      <c r="D131" t="s">
        <v>251</v>
      </c>
      <c r="E131" t="s">
        <v>22</v>
      </c>
      <c r="F131" t="s">
        <v>23</v>
      </c>
      <c r="G131" t="s">
        <v>254</v>
      </c>
      <c r="H131" t="s">
        <v>255</v>
      </c>
      <c r="I131" s="3">
        <f>DATEVALUE("2024/01/03 00:00:00")</f>
        <v>45294</v>
      </c>
      <c r="J131" s="3">
        <f>DATEVALUE("2024/04/08 00:00:00")</f>
        <v>45390</v>
      </c>
      <c r="K131" s="3">
        <f>DATEVALUE("2024/04/15 00:00:00")</f>
        <v>45397</v>
      </c>
      <c r="L131" s="4">
        <v>1834.6</v>
      </c>
      <c r="M131" s="4">
        <v>0</v>
      </c>
      <c r="N131" t="s">
        <v>26</v>
      </c>
      <c r="O131" s="4">
        <v>914.4</v>
      </c>
      <c r="P131" s="4">
        <v>937.08</v>
      </c>
      <c r="Q131" s="4">
        <v>0</v>
      </c>
      <c r="R131" t="s">
        <v>34</v>
      </c>
      <c r="S131" t="s">
        <v>35</v>
      </c>
    </row>
    <row r="132" spans="1:19" x14ac:dyDescent="0.25">
      <c r="A132" t="s">
        <v>178</v>
      </c>
      <c r="B132" t="s">
        <v>179</v>
      </c>
      <c r="C132" t="s">
        <v>250</v>
      </c>
      <c r="D132" t="s">
        <v>251</v>
      </c>
      <c r="E132" t="s">
        <v>22</v>
      </c>
      <c r="F132" t="s">
        <v>23</v>
      </c>
      <c r="G132" t="s">
        <v>256</v>
      </c>
      <c r="H132" t="s">
        <v>257</v>
      </c>
      <c r="I132" s="3">
        <f>DATEVALUE("2024/01/03 00:00:00")</f>
        <v>45294</v>
      </c>
      <c r="J132" s="3">
        <f>DATEVALUE("2024/04/08 00:00:00")</f>
        <v>45390</v>
      </c>
      <c r="K132" s="3">
        <f>DATEVALUE("2024/04/15 00:00:00")</f>
        <v>45397</v>
      </c>
      <c r="L132" s="4">
        <v>900</v>
      </c>
      <c r="M132" s="4">
        <v>0</v>
      </c>
      <c r="N132" t="s">
        <v>26</v>
      </c>
      <c r="O132" s="4">
        <v>411</v>
      </c>
      <c r="P132" s="4">
        <v>436.56</v>
      </c>
      <c r="Q132" s="4">
        <v>0</v>
      </c>
      <c r="R132" t="s">
        <v>34</v>
      </c>
      <c r="S132" t="s">
        <v>35</v>
      </c>
    </row>
    <row r="133" spans="1:19" x14ac:dyDescent="0.25">
      <c r="A133" t="s">
        <v>178</v>
      </c>
      <c r="B133" t="s">
        <v>179</v>
      </c>
      <c r="C133" t="s">
        <v>250</v>
      </c>
      <c r="D133" t="s">
        <v>251</v>
      </c>
      <c r="E133" t="s">
        <v>22</v>
      </c>
      <c r="F133" t="s">
        <v>23</v>
      </c>
      <c r="G133" t="s">
        <v>258</v>
      </c>
      <c r="H133" t="s">
        <v>259</v>
      </c>
      <c r="I133" s="3">
        <f>DATEVALUE("2024/01/03 00:00:00")</f>
        <v>45294</v>
      </c>
      <c r="J133" s="3">
        <f>DATEVALUE("2024/04/08 00:00:00")</f>
        <v>45390</v>
      </c>
      <c r="K133" s="3">
        <f>DATEVALUE("2024/04/15 00:00:00")</f>
        <v>45397</v>
      </c>
      <c r="L133" s="4">
        <v>7267.1</v>
      </c>
      <c r="M133" s="4">
        <v>0</v>
      </c>
      <c r="N133" t="s">
        <v>26</v>
      </c>
      <c r="O133" s="4">
        <v>3056.25</v>
      </c>
      <c r="P133" s="4">
        <v>3189.11</v>
      </c>
      <c r="Q133" s="4">
        <v>0</v>
      </c>
      <c r="R133" t="s">
        <v>34</v>
      </c>
      <c r="S133" t="s">
        <v>35</v>
      </c>
    </row>
    <row r="134" spans="1:19" x14ac:dyDescent="0.25">
      <c r="A134" t="s">
        <v>178</v>
      </c>
      <c r="B134" t="s">
        <v>179</v>
      </c>
      <c r="C134" t="s">
        <v>114</v>
      </c>
      <c r="D134" t="s">
        <v>115</v>
      </c>
      <c r="E134" t="s">
        <v>22</v>
      </c>
      <c r="F134" t="s">
        <v>23</v>
      </c>
      <c r="G134" t="s">
        <v>260</v>
      </c>
      <c r="H134" t="s">
        <v>261</v>
      </c>
      <c r="I134" s="3">
        <f>DATEVALUE("2023/11/08 00:00:00")</f>
        <v>45238</v>
      </c>
      <c r="J134" s="3">
        <f>DATEVALUE("2024/02/27 00:00:00")</f>
        <v>45349</v>
      </c>
      <c r="K134" s="3">
        <f>DATEVALUE("2024/03/09 00:00:00")</f>
        <v>45360</v>
      </c>
      <c r="L134" s="4">
        <v>59914.94</v>
      </c>
      <c r="M134" s="4">
        <v>0</v>
      </c>
      <c r="N134" t="s">
        <v>26</v>
      </c>
      <c r="O134" s="4">
        <v>22688.799999999999</v>
      </c>
      <c r="P134" s="4">
        <v>22156.18</v>
      </c>
      <c r="Q134" s="4">
        <v>0</v>
      </c>
      <c r="R134" t="s">
        <v>34</v>
      </c>
      <c r="S134" t="s">
        <v>35</v>
      </c>
    </row>
    <row r="135" spans="1:19" x14ac:dyDescent="0.25">
      <c r="A135" t="s">
        <v>178</v>
      </c>
      <c r="B135" t="s">
        <v>179</v>
      </c>
      <c r="C135" t="s">
        <v>114</v>
      </c>
      <c r="D135" t="s">
        <v>115</v>
      </c>
      <c r="E135" t="s">
        <v>22</v>
      </c>
      <c r="F135" t="s">
        <v>23</v>
      </c>
      <c r="G135" t="s">
        <v>262</v>
      </c>
      <c r="H135" t="s">
        <v>263</v>
      </c>
      <c r="I135" s="3">
        <f>DATEVALUE("2023/12/11 00:00:00")</f>
        <v>45271</v>
      </c>
      <c r="J135" s="3">
        <f>DATEVALUE("2024/04/08 00:00:00")</f>
        <v>45390</v>
      </c>
      <c r="K135" s="3">
        <f>DATEVALUE("2024/04/15 00:00:00")</f>
        <v>45397</v>
      </c>
      <c r="L135" s="4">
        <v>50464.86</v>
      </c>
      <c r="M135" s="4">
        <v>0</v>
      </c>
      <c r="N135" t="s">
        <v>26</v>
      </c>
      <c r="O135" s="4">
        <v>20929.810000000001</v>
      </c>
      <c r="P135" s="4">
        <v>20979.81</v>
      </c>
      <c r="Q135" s="4">
        <v>0</v>
      </c>
      <c r="R135" t="s">
        <v>34</v>
      </c>
      <c r="S135" t="s">
        <v>35</v>
      </c>
    </row>
    <row r="136" spans="1:19" x14ac:dyDescent="0.25">
      <c r="A136" t="s">
        <v>178</v>
      </c>
      <c r="B136" t="s">
        <v>179</v>
      </c>
      <c r="C136" t="s">
        <v>114</v>
      </c>
      <c r="D136" t="s">
        <v>115</v>
      </c>
      <c r="E136" t="s">
        <v>22</v>
      </c>
      <c r="F136" t="s">
        <v>23</v>
      </c>
      <c r="G136" t="s">
        <v>264</v>
      </c>
      <c r="H136" t="s">
        <v>265</v>
      </c>
      <c r="I136" s="3">
        <f>DATEVALUE("2023/12/12 00:00:00")</f>
        <v>45272</v>
      </c>
      <c r="J136" s="3">
        <f>DATEVALUE("2024/04/08 00:00:00")</f>
        <v>45390</v>
      </c>
      <c r="K136" s="3">
        <f>DATEVALUE("2024/04/15 00:00:00")</f>
        <v>45397</v>
      </c>
      <c r="L136" s="4">
        <v>34396.559999999998</v>
      </c>
      <c r="M136" s="4">
        <v>0</v>
      </c>
      <c r="N136" t="s">
        <v>26</v>
      </c>
      <c r="O136" s="4">
        <v>15056.61</v>
      </c>
      <c r="P136" s="4">
        <v>15104.97</v>
      </c>
      <c r="Q136" s="4">
        <v>0</v>
      </c>
      <c r="R136" t="s">
        <v>34</v>
      </c>
      <c r="S136" t="s">
        <v>35</v>
      </c>
    </row>
    <row r="137" spans="1:19" x14ac:dyDescent="0.25">
      <c r="A137" t="s">
        <v>178</v>
      </c>
      <c r="B137" t="s">
        <v>179</v>
      </c>
      <c r="C137" t="s">
        <v>92</v>
      </c>
      <c r="D137" t="s">
        <v>93</v>
      </c>
      <c r="E137" t="s">
        <v>22</v>
      </c>
      <c r="F137" t="s">
        <v>23</v>
      </c>
      <c r="G137" t="s">
        <v>266</v>
      </c>
      <c r="H137" t="s">
        <v>267</v>
      </c>
      <c r="I137" s="3">
        <f>DATEVALUE("2024/01/22 00:00:00")</f>
        <v>45313</v>
      </c>
      <c r="J137" s="3">
        <f>DATEVALUE("2024/05/06 00:00:00")</f>
        <v>45418</v>
      </c>
      <c r="K137" s="3">
        <f>DATEVALUE("2024/05/15 00:00:00")</f>
        <v>45427</v>
      </c>
      <c r="L137" s="4">
        <v>5369.4</v>
      </c>
      <c r="M137" s="4">
        <v>0</v>
      </c>
      <c r="N137" t="s">
        <v>26</v>
      </c>
      <c r="O137" s="4">
        <v>1019.19</v>
      </c>
      <c r="P137" s="4">
        <v>960.48</v>
      </c>
      <c r="Q137" s="4">
        <v>0</v>
      </c>
      <c r="R137" t="s">
        <v>34</v>
      </c>
      <c r="S137" t="s">
        <v>35</v>
      </c>
    </row>
    <row r="138" spans="1:19" x14ac:dyDescent="0.25">
      <c r="A138" t="s">
        <v>178</v>
      </c>
      <c r="B138" t="s">
        <v>179</v>
      </c>
      <c r="C138" t="s">
        <v>92</v>
      </c>
      <c r="D138" t="s">
        <v>93</v>
      </c>
      <c r="E138" t="s">
        <v>22</v>
      </c>
      <c r="F138" t="s">
        <v>23</v>
      </c>
      <c r="G138" t="s">
        <v>268</v>
      </c>
      <c r="H138" t="s">
        <v>269</v>
      </c>
      <c r="I138" s="3">
        <f>DATEVALUE("2024/01/22 00:00:00")</f>
        <v>45313</v>
      </c>
      <c r="J138" s="3">
        <f>DATEVALUE("2024/05/15 00:00:00")</f>
        <v>45427</v>
      </c>
      <c r="K138" s="3">
        <f>DATEVALUE("2024/05/22 00:00:00")</f>
        <v>45434</v>
      </c>
      <c r="L138" s="4">
        <v>17299.2</v>
      </c>
      <c r="M138" s="4">
        <v>0</v>
      </c>
      <c r="N138" t="s">
        <v>26</v>
      </c>
      <c r="O138" s="4">
        <v>6038.4</v>
      </c>
      <c r="P138" s="4">
        <v>5482.2</v>
      </c>
      <c r="Q138" s="4">
        <v>0</v>
      </c>
      <c r="R138" t="s">
        <v>34</v>
      </c>
      <c r="S138" t="s">
        <v>35</v>
      </c>
    </row>
    <row r="139" spans="1:19" x14ac:dyDescent="0.25">
      <c r="A139" t="s">
        <v>178</v>
      </c>
      <c r="B139" t="s">
        <v>179</v>
      </c>
      <c r="C139" t="s">
        <v>92</v>
      </c>
      <c r="D139" t="s">
        <v>93</v>
      </c>
      <c r="E139" t="s">
        <v>22</v>
      </c>
      <c r="F139" t="s">
        <v>23</v>
      </c>
      <c r="G139" t="s">
        <v>268</v>
      </c>
      <c r="H139" t="s">
        <v>269</v>
      </c>
      <c r="I139" s="3">
        <f>DATEVALUE("2024/01/22 00:00:00")</f>
        <v>45313</v>
      </c>
      <c r="J139" s="3">
        <f>DATEVALUE("2024/05/06 00:00:00")</f>
        <v>45418</v>
      </c>
      <c r="K139" s="3">
        <f>DATEVALUE("2024/05/22 00:00:00")</f>
        <v>45434</v>
      </c>
      <c r="L139" s="4">
        <v>3169.2</v>
      </c>
      <c r="M139" s="4">
        <v>0</v>
      </c>
      <c r="N139" t="s">
        <v>26</v>
      </c>
      <c r="O139" s="4">
        <v>1390.8</v>
      </c>
      <c r="P139" s="4">
        <v>1292.76</v>
      </c>
      <c r="Q139" s="4">
        <v>0</v>
      </c>
      <c r="R139" t="s">
        <v>34</v>
      </c>
      <c r="S139" t="s">
        <v>35</v>
      </c>
    </row>
    <row r="140" spans="1:19" x14ac:dyDescent="0.25">
      <c r="A140" t="s">
        <v>178</v>
      </c>
      <c r="B140" t="s">
        <v>179</v>
      </c>
      <c r="C140" t="s">
        <v>20</v>
      </c>
      <c r="D140" t="s">
        <v>21</v>
      </c>
      <c r="E140" t="s">
        <v>22</v>
      </c>
      <c r="F140" t="s">
        <v>23</v>
      </c>
      <c r="G140" t="s">
        <v>270</v>
      </c>
      <c r="H140" t="s">
        <v>271</v>
      </c>
      <c r="I140" s="3">
        <f>DATEVALUE("2023/08/24 00:00:00")</f>
        <v>45162</v>
      </c>
      <c r="J140" s="3">
        <f>DATEVALUE("2023/12/27 00:00:00")</f>
        <v>45287</v>
      </c>
      <c r="K140" s="3">
        <f>DATEVALUE("2024/01/03 00:00:00")</f>
        <v>45294</v>
      </c>
      <c r="L140" s="4">
        <v>20146.560000000001</v>
      </c>
      <c r="M140" s="4">
        <v>719.52</v>
      </c>
      <c r="N140" t="s">
        <v>26</v>
      </c>
      <c r="O140" s="4">
        <v>2150.4</v>
      </c>
      <c r="P140" s="4">
        <v>2012.04</v>
      </c>
      <c r="Q140" s="4">
        <v>138.36000000000001</v>
      </c>
      <c r="R140" t="s">
        <v>27</v>
      </c>
      <c r="S140" t="s">
        <v>272</v>
      </c>
    </row>
    <row r="141" spans="1:19" x14ac:dyDescent="0.25">
      <c r="A141" t="s">
        <v>178</v>
      </c>
      <c r="B141" t="s">
        <v>179</v>
      </c>
      <c r="C141" t="s">
        <v>20</v>
      </c>
      <c r="D141" t="s">
        <v>21</v>
      </c>
      <c r="E141" t="s">
        <v>22</v>
      </c>
      <c r="F141" t="s">
        <v>23</v>
      </c>
      <c r="G141" t="s">
        <v>270</v>
      </c>
      <c r="H141" t="s">
        <v>271</v>
      </c>
      <c r="I141" s="3">
        <f>DATEVALUE("2023/08/24 00:00:00")</f>
        <v>45162</v>
      </c>
      <c r="J141" s="3">
        <f>DATEVALUE("2023/12/27 00:00:00")</f>
        <v>45287</v>
      </c>
      <c r="K141" s="3">
        <f>DATEVALUE("2024/01/03 00:00:00")</f>
        <v>45294</v>
      </c>
      <c r="L141" s="4">
        <v>120950</v>
      </c>
      <c r="M141" s="4">
        <v>0</v>
      </c>
      <c r="N141" t="s">
        <v>26</v>
      </c>
      <c r="O141" s="4">
        <v>10757.02</v>
      </c>
      <c r="P141" s="4">
        <v>10039.459999999999</v>
      </c>
      <c r="Q141" s="4">
        <v>0</v>
      </c>
      <c r="R141" t="s">
        <v>34</v>
      </c>
      <c r="S141" t="s">
        <v>35</v>
      </c>
    </row>
    <row r="142" spans="1:19" x14ac:dyDescent="0.25">
      <c r="A142" t="s">
        <v>178</v>
      </c>
      <c r="B142" t="s">
        <v>179</v>
      </c>
      <c r="C142" t="s">
        <v>273</v>
      </c>
      <c r="D142" t="s">
        <v>274</v>
      </c>
      <c r="E142" t="s">
        <v>22</v>
      </c>
      <c r="F142" t="s">
        <v>23</v>
      </c>
      <c r="G142" t="s">
        <v>275</v>
      </c>
      <c r="H142" t="s">
        <v>276</v>
      </c>
      <c r="I142" s="3">
        <f>DATEVALUE("2023/12/13 00:00:00")</f>
        <v>45273</v>
      </c>
      <c r="J142" s="3">
        <f>DATEVALUE("2024/02/22 00:00:00")</f>
        <v>45344</v>
      </c>
      <c r="K142" s="3">
        <f>DATEVALUE("2024/02/29 00:00:00")</f>
        <v>45351</v>
      </c>
      <c r="L142" s="4">
        <v>33385.440000000002</v>
      </c>
      <c r="M142" s="4">
        <v>0</v>
      </c>
      <c r="N142" t="s">
        <v>26</v>
      </c>
      <c r="O142" s="4">
        <v>16414.080000000002</v>
      </c>
      <c r="P142" s="4">
        <v>15796.24</v>
      </c>
      <c r="Q142" s="4">
        <v>0</v>
      </c>
      <c r="R142" t="s">
        <v>34</v>
      </c>
      <c r="S142" t="s">
        <v>35</v>
      </c>
    </row>
    <row r="143" spans="1:19" x14ac:dyDescent="0.25">
      <c r="A143" t="s">
        <v>277</v>
      </c>
      <c r="B143" t="s">
        <v>278</v>
      </c>
      <c r="C143" t="s">
        <v>30</v>
      </c>
      <c r="D143" t="s">
        <v>31</v>
      </c>
      <c r="E143" t="s">
        <v>22</v>
      </c>
      <c r="F143" t="s">
        <v>23</v>
      </c>
      <c r="G143" t="s">
        <v>279</v>
      </c>
      <c r="H143" t="s">
        <v>280</v>
      </c>
      <c r="I143" s="3">
        <f>DATEVALUE("2023/10/18 00:00:00")</f>
        <v>45217</v>
      </c>
      <c r="J143" s="3">
        <f>DATEVALUE("2024/01/19 00:00:00")</f>
        <v>45310</v>
      </c>
      <c r="K143" s="3">
        <f>DATEVALUE("2024/01/26 00:00:00")</f>
        <v>45317</v>
      </c>
      <c r="L143" s="4">
        <v>1830.6</v>
      </c>
      <c r="M143" s="4">
        <v>0</v>
      </c>
      <c r="N143" t="s">
        <v>26</v>
      </c>
      <c r="O143" s="4">
        <v>361.8</v>
      </c>
      <c r="P143" s="4">
        <v>369.6</v>
      </c>
      <c r="Q143" s="4">
        <v>0</v>
      </c>
      <c r="R143" t="s">
        <v>34</v>
      </c>
      <c r="S143" t="s">
        <v>35</v>
      </c>
    </row>
    <row r="144" spans="1:19" x14ac:dyDescent="0.25">
      <c r="A144" t="s">
        <v>277</v>
      </c>
      <c r="B144" t="s">
        <v>278</v>
      </c>
      <c r="C144" t="s">
        <v>60</v>
      </c>
      <c r="D144" t="s">
        <v>61</v>
      </c>
      <c r="E144" t="s">
        <v>22</v>
      </c>
      <c r="F144" t="s">
        <v>23</v>
      </c>
      <c r="G144" t="s">
        <v>281</v>
      </c>
      <c r="H144" t="s">
        <v>282</v>
      </c>
      <c r="I144" s="3">
        <f>DATEVALUE("2023/09/14 00:00:00")</f>
        <v>45183</v>
      </c>
      <c r="J144" s="3">
        <f>DATEVALUE("2024/02/09 00:00:00")</f>
        <v>45331</v>
      </c>
      <c r="K144" s="3">
        <f>DATEVALUE("2024/02/16 00:00:00")</f>
        <v>45338</v>
      </c>
      <c r="L144" s="4">
        <v>1630</v>
      </c>
      <c r="M144" s="4">
        <v>0</v>
      </c>
      <c r="N144" t="s">
        <v>64</v>
      </c>
      <c r="O144" s="4">
        <v>1120</v>
      </c>
      <c r="P144" s="4">
        <v>1186.48</v>
      </c>
      <c r="Q144" s="4">
        <v>0</v>
      </c>
      <c r="R144" t="s">
        <v>34</v>
      </c>
      <c r="S144" t="s">
        <v>35</v>
      </c>
    </row>
    <row r="145" spans="1:19" x14ac:dyDescent="0.25">
      <c r="A145" t="s">
        <v>277</v>
      </c>
      <c r="B145" t="s">
        <v>278</v>
      </c>
      <c r="C145" t="s">
        <v>60</v>
      </c>
      <c r="D145" t="s">
        <v>61</v>
      </c>
      <c r="E145" t="s">
        <v>22</v>
      </c>
      <c r="F145" t="s">
        <v>23</v>
      </c>
      <c r="G145" t="s">
        <v>283</v>
      </c>
      <c r="H145" t="s">
        <v>284</v>
      </c>
      <c r="I145" s="3">
        <f>DATEVALUE("2023/09/14 00:00:00")</f>
        <v>45183</v>
      </c>
      <c r="J145" s="3">
        <f>DATEVALUE("2024/02/09 00:00:00")</f>
        <v>45331</v>
      </c>
      <c r="K145" s="3">
        <f>DATEVALUE("2024/02/16 00:00:00")</f>
        <v>45338</v>
      </c>
      <c r="L145" s="4">
        <v>11947.5</v>
      </c>
      <c r="M145" s="4">
        <v>0</v>
      </c>
      <c r="N145" t="s">
        <v>64</v>
      </c>
      <c r="O145" s="4">
        <v>7088.45</v>
      </c>
      <c r="P145" s="4">
        <v>7444.07</v>
      </c>
      <c r="Q145" s="4">
        <v>0</v>
      </c>
      <c r="R145" t="s">
        <v>34</v>
      </c>
      <c r="S145" t="s">
        <v>35</v>
      </c>
    </row>
    <row r="146" spans="1:19" x14ac:dyDescent="0.25">
      <c r="A146" t="s">
        <v>277</v>
      </c>
      <c r="B146" t="s">
        <v>278</v>
      </c>
      <c r="C146" t="s">
        <v>60</v>
      </c>
      <c r="D146" t="s">
        <v>61</v>
      </c>
      <c r="E146" t="s">
        <v>22</v>
      </c>
      <c r="F146" t="s">
        <v>23</v>
      </c>
      <c r="G146" t="s">
        <v>285</v>
      </c>
      <c r="H146" t="s">
        <v>286</v>
      </c>
      <c r="I146" s="3">
        <f>DATEVALUE("2023/09/21 00:00:00")</f>
        <v>45190</v>
      </c>
      <c r="J146" s="3">
        <f>DATEVALUE("2024/03/20 00:00:00")</f>
        <v>45371</v>
      </c>
      <c r="K146" s="3">
        <f>DATEVALUE("2024/04/12 00:00:00")</f>
        <v>45394</v>
      </c>
      <c r="L146" s="4">
        <v>13932</v>
      </c>
      <c r="M146" s="4">
        <v>0</v>
      </c>
      <c r="N146" t="s">
        <v>64</v>
      </c>
      <c r="O146" s="4">
        <v>7159.5</v>
      </c>
      <c r="P146" s="4">
        <v>7156.92</v>
      </c>
      <c r="Q146" s="4">
        <v>0</v>
      </c>
      <c r="R146" t="s">
        <v>34</v>
      </c>
      <c r="S146" t="s">
        <v>35</v>
      </c>
    </row>
    <row r="147" spans="1:19" x14ac:dyDescent="0.25">
      <c r="A147" t="s">
        <v>277</v>
      </c>
      <c r="B147" t="s">
        <v>278</v>
      </c>
      <c r="C147" t="s">
        <v>60</v>
      </c>
      <c r="D147" t="s">
        <v>61</v>
      </c>
      <c r="E147" t="s">
        <v>22</v>
      </c>
      <c r="F147" t="s">
        <v>23</v>
      </c>
      <c r="G147" t="s">
        <v>285</v>
      </c>
      <c r="H147" t="s">
        <v>286</v>
      </c>
      <c r="I147" s="3">
        <f>DATEVALUE("2023/09/21 00:00:00")</f>
        <v>45190</v>
      </c>
      <c r="J147" s="3">
        <f>DATEVALUE("2024/04/05 00:00:00")</f>
        <v>45387</v>
      </c>
      <c r="K147" s="3">
        <f>DATEVALUE("2024/04/12 00:00:00")</f>
        <v>45394</v>
      </c>
      <c r="L147" s="4">
        <v>3180</v>
      </c>
      <c r="M147" s="4">
        <v>0</v>
      </c>
      <c r="N147" t="s">
        <v>64</v>
      </c>
      <c r="O147" s="4">
        <v>1531.44</v>
      </c>
      <c r="P147" s="4">
        <v>1541.09</v>
      </c>
      <c r="Q147" s="4">
        <v>0</v>
      </c>
      <c r="R147" t="s">
        <v>34</v>
      </c>
      <c r="S147" t="s">
        <v>35</v>
      </c>
    </row>
    <row r="148" spans="1:19" x14ac:dyDescent="0.25">
      <c r="A148" t="s">
        <v>277</v>
      </c>
      <c r="B148" t="s">
        <v>278</v>
      </c>
      <c r="C148" t="s">
        <v>60</v>
      </c>
      <c r="D148" t="s">
        <v>61</v>
      </c>
      <c r="E148" t="s">
        <v>22</v>
      </c>
      <c r="F148" t="s">
        <v>23</v>
      </c>
      <c r="G148" t="s">
        <v>285</v>
      </c>
      <c r="H148" t="s">
        <v>286</v>
      </c>
      <c r="I148" s="3">
        <f>DATEVALUE("2023/09/21 00:00:00")</f>
        <v>45190</v>
      </c>
      <c r="J148" s="3">
        <f>DATEVALUE("2024/02/16 00:00:00")</f>
        <v>45338</v>
      </c>
      <c r="K148" s="3">
        <f>DATEVALUE("2024/04/12 00:00:00")</f>
        <v>45394</v>
      </c>
      <c r="L148" s="4">
        <v>1188</v>
      </c>
      <c r="M148" s="4">
        <v>0</v>
      </c>
      <c r="N148" t="s">
        <v>64</v>
      </c>
      <c r="O148" s="4">
        <v>382.32</v>
      </c>
      <c r="P148" s="4">
        <v>387.44</v>
      </c>
      <c r="Q148" s="4">
        <v>0</v>
      </c>
      <c r="R148" t="s">
        <v>34</v>
      </c>
      <c r="S148" t="s">
        <v>35</v>
      </c>
    </row>
    <row r="149" spans="1:19" x14ac:dyDescent="0.25">
      <c r="A149" t="s">
        <v>277</v>
      </c>
      <c r="B149" t="s">
        <v>278</v>
      </c>
      <c r="C149" t="s">
        <v>60</v>
      </c>
      <c r="D149" t="s">
        <v>61</v>
      </c>
      <c r="E149" t="s">
        <v>22</v>
      </c>
      <c r="F149" t="s">
        <v>23</v>
      </c>
      <c r="G149" t="s">
        <v>287</v>
      </c>
      <c r="H149" t="s">
        <v>288</v>
      </c>
      <c r="I149" s="3">
        <f>DATEVALUE("2023/10/19 00:00:00")</f>
        <v>45218</v>
      </c>
      <c r="J149" s="3">
        <f>DATEVALUE("2024/03/08 00:00:00")</f>
        <v>45359</v>
      </c>
      <c r="K149" s="3">
        <f>DATEVALUE("2024/03/15 00:00:00")</f>
        <v>45366</v>
      </c>
      <c r="L149" s="4">
        <v>19022</v>
      </c>
      <c r="M149" s="4">
        <v>0</v>
      </c>
      <c r="N149" t="s">
        <v>64</v>
      </c>
      <c r="O149" s="4">
        <v>8802.1200000000008</v>
      </c>
      <c r="P149" s="4">
        <v>8883.17</v>
      </c>
      <c r="Q149" s="4">
        <v>0</v>
      </c>
      <c r="R149" t="s">
        <v>34</v>
      </c>
      <c r="S149" t="s">
        <v>35</v>
      </c>
    </row>
    <row r="150" spans="1:19" x14ac:dyDescent="0.25">
      <c r="A150" t="s">
        <v>277</v>
      </c>
      <c r="B150" t="s">
        <v>278</v>
      </c>
      <c r="C150" t="s">
        <v>60</v>
      </c>
      <c r="D150" t="s">
        <v>61</v>
      </c>
      <c r="E150" t="s">
        <v>22</v>
      </c>
      <c r="F150" t="s">
        <v>23</v>
      </c>
      <c r="G150" t="s">
        <v>289</v>
      </c>
      <c r="H150" t="s">
        <v>290</v>
      </c>
      <c r="I150" s="3">
        <f>DATEVALUE("2023/11/13 00:00:00")</f>
        <v>45243</v>
      </c>
      <c r="J150" s="3">
        <f>DATEVALUE("2024/05/24 00:00:00")</f>
        <v>45436</v>
      </c>
      <c r="K150" s="3">
        <f>DATEVALUE("2024/05/31 00:00:00")</f>
        <v>45443</v>
      </c>
      <c r="L150" s="4">
        <v>7360.7</v>
      </c>
      <c r="M150" s="4">
        <v>0</v>
      </c>
      <c r="N150" t="s">
        <v>64</v>
      </c>
      <c r="O150" s="4">
        <v>3557.29</v>
      </c>
      <c r="P150" s="4">
        <v>3650.7</v>
      </c>
      <c r="Q150" s="4">
        <v>0</v>
      </c>
      <c r="R150" t="s">
        <v>34</v>
      </c>
      <c r="S150" t="s">
        <v>35</v>
      </c>
    </row>
    <row r="151" spans="1:19" x14ac:dyDescent="0.25">
      <c r="A151" t="s">
        <v>277</v>
      </c>
      <c r="B151" t="s">
        <v>278</v>
      </c>
      <c r="C151" t="s">
        <v>60</v>
      </c>
      <c r="D151" t="s">
        <v>61</v>
      </c>
      <c r="E151" t="s">
        <v>22</v>
      </c>
      <c r="F151" t="s">
        <v>23</v>
      </c>
      <c r="G151" t="s">
        <v>291</v>
      </c>
      <c r="H151" t="s">
        <v>292</v>
      </c>
      <c r="I151" s="3">
        <f>DATEVALUE("2023/11/13 00:00:00")</f>
        <v>45243</v>
      </c>
      <c r="J151" s="3">
        <f>DATEVALUE("2024/05/24 00:00:00")</f>
        <v>45436</v>
      </c>
      <c r="K151" s="3">
        <f>DATEVALUE("2024/05/31 00:00:00")</f>
        <v>45443</v>
      </c>
      <c r="L151" s="4">
        <v>6527.74</v>
      </c>
      <c r="M151" s="4">
        <v>0</v>
      </c>
      <c r="N151" t="s">
        <v>64</v>
      </c>
      <c r="O151" s="4">
        <v>2914.34</v>
      </c>
      <c r="P151" s="4">
        <v>2953.16</v>
      </c>
      <c r="Q151" s="4">
        <v>0</v>
      </c>
      <c r="R151" t="s">
        <v>34</v>
      </c>
      <c r="S151" t="s">
        <v>35</v>
      </c>
    </row>
    <row r="152" spans="1:19" x14ac:dyDescent="0.25">
      <c r="A152" t="s">
        <v>277</v>
      </c>
      <c r="B152" t="s">
        <v>278</v>
      </c>
      <c r="C152" t="s">
        <v>60</v>
      </c>
      <c r="D152" t="s">
        <v>61</v>
      </c>
      <c r="E152" t="s">
        <v>22</v>
      </c>
      <c r="F152" t="s">
        <v>23</v>
      </c>
      <c r="G152" t="s">
        <v>293</v>
      </c>
      <c r="H152" t="s">
        <v>294</v>
      </c>
      <c r="I152" s="3">
        <f>DATEVALUE("2023/11/13 00:00:00")</f>
        <v>45243</v>
      </c>
      <c r="J152" s="3">
        <f>DATEVALUE("2024/02/23 00:00:00")</f>
        <v>45345</v>
      </c>
      <c r="K152" s="3">
        <f>DATEVALUE("2024/03/01 00:00:00")</f>
        <v>45352</v>
      </c>
      <c r="L152" s="4">
        <v>19765.2</v>
      </c>
      <c r="M152" s="4">
        <v>0</v>
      </c>
      <c r="N152" t="s">
        <v>64</v>
      </c>
      <c r="O152" s="4">
        <v>12259.37</v>
      </c>
      <c r="P152" s="4">
        <v>12739.67</v>
      </c>
      <c r="Q152" s="4">
        <v>0</v>
      </c>
      <c r="R152" t="s">
        <v>34</v>
      </c>
      <c r="S152" t="s">
        <v>35</v>
      </c>
    </row>
    <row r="153" spans="1:19" x14ac:dyDescent="0.25">
      <c r="A153" t="s">
        <v>277</v>
      </c>
      <c r="B153" t="s">
        <v>278</v>
      </c>
      <c r="C153" t="s">
        <v>142</v>
      </c>
      <c r="D153" t="s">
        <v>143</v>
      </c>
      <c r="E153" t="s">
        <v>22</v>
      </c>
      <c r="F153" t="s">
        <v>23</v>
      </c>
      <c r="G153" t="s">
        <v>295</v>
      </c>
      <c r="H153" t="s">
        <v>296</v>
      </c>
      <c r="I153" s="3">
        <f>DATEVALUE("2023/09/19 00:00:00")</f>
        <v>45188</v>
      </c>
      <c r="J153" s="3">
        <f>DATEVALUE("2023/12/26 00:00:00")</f>
        <v>45286</v>
      </c>
      <c r="K153" s="3">
        <f>DATEVALUE("2024/01/09 00:00:00")</f>
        <v>45300</v>
      </c>
      <c r="L153" s="4">
        <v>8251.25</v>
      </c>
      <c r="M153" s="4">
        <v>0</v>
      </c>
      <c r="N153" t="s">
        <v>26</v>
      </c>
      <c r="O153" s="4">
        <v>4410.25</v>
      </c>
      <c r="P153" s="4">
        <v>4412.75</v>
      </c>
      <c r="Q153" s="4">
        <v>0</v>
      </c>
      <c r="R153" t="s">
        <v>34</v>
      </c>
      <c r="S153" t="s">
        <v>35</v>
      </c>
    </row>
    <row r="154" spans="1:19" x14ac:dyDescent="0.25">
      <c r="A154" t="s">
        <v>277</v>
      </c>
      <c r="B154" t="s">
        <v>278</v>
      </c>
      <c r="C154" t="s">
        <v>142</v>
      </c>
      <c r="D154" t="s">
        <v>143</v>
      </c>
      <c r="E154" t="s">
        <v>22</v>
      </c>
      <c r="F154" t="s">
        <v>23</v>
      </c>
      <c r="G154" t="s">
        <v>297</v>
      </c>
      <c r="H154" t="s">
        <v>298</v>
      </c>
      <c r="I154" s="3">
        <f>DATEVALUE("2023/11/07 00:00:00")</f>
        <v>45237</v>
      </c>
      <c r="J154" s="3">
        <f>DATEVALUE("2024/02/20 00:00:00")</f>
        <v>45342</v>
      </c>
      <c r="K154" s="3">
        <f>DATEVALUE("2024/03/05 00:00:00")</f>
        <v>45356</v>
      </c>
      <c r="L154" s="4">
        <v>12978</v>
      </c>
      <c r="M154" s="4">
        <v>0</v>
      </c>
      <c r="N154" t="s">
        <v>26</v>
      </c>
      <c r="O154" s="4">
        <v>6923</v>
      </c>
      <c r="P154" s="4">
        <v>6934.93</v>
      </c>
      <c r="Q154" s="4">
        <v>0</v>
      </c>
      <c r="R154" t="s">
        <v>34</v>
      </c>
      <c r="S154" t="s">
        <v>35</v>
      </c>
    </row>
    <row r="155" spans="1:19" x14ac:dyDescent="0.25">
      <c r="A155" t="s">
        <v>277</v>
      </c>
      <c r="B155" t="s">
        <v>278</v>
      </c>
      <c r="C155" t="s">
        <v>40</v>
      </c>
      <c r="D155" t="s">
        <v>41</v>
      </c>
      <c r="E155" t="s">
        <v>22</v>
      </c>
      <c r="F155" t="s">
        <v>23</v>
      </c>
      <c r="G155" t="s">
        <v>299</v>
      </c>
      <c r="H155" t="s">
        <v>300</v>
      </c>
      <c r="I155" s="3">
        <f>DATEVALUE("2023/08/11 00:00:00")</f>
        <v>45149</v>
      </c>
      <c r="J155" s="3">
        <f>DATEVALUE("2024/01/12 00:00:00")</f>
        <v>45303</v>
      </c>
      <c r="K155" s="3">
        <f>DATEVALUE("2024/01/26 00:00:00")</f>
        <v>45317</v>
      </c>
      <c r="L155" s="4">
        <v>3300</v>
      </c>
      <c r="M155" s="4">
        <v>0</v>
      </c>
      <c r="N155" t="s">
        <v>26</v>
      </c>
      <c r="O155" s="4">
        <v>1560</v>
      </c>
      <c r="P155" s="4">
        <v>1487.2</v>
      </c>
      <c r="Q155" s="4">
        <v>0</v>
      </c>
      <c r="R155" t="s">
        <v>34</v>
      </c>
      <c r="S155" t="s">
        <v>35</v>
      </c>
    </row>
    <row r="156" spans="1:19" x14ac:dyDescent="0.25">
      <c r="A156" t="s">
        <v>277</v>
      </c>
      <c r="B156" t="s">
        <v>278</v>
      </c>
      <c r="C156" t="s">
        <v>40</v>
      </c>
      <c r="D156" t="s">
        <v>41</v>
      </c>
      <c r="E156" t="s">
        <v>22</v>
      </c>
      <c r="F156" t="s">
        <v>23</v>
      </c>
      <c r="G156" t="s">
        <v>299</v>
      </c>
      <c r="H156" t="s">
        <v>300</v>
      </c>
      <c r="I156" s="3">
        <f>DATEVALUE("2023/08/11 00:00:00")</f>
        <v>45149</v>
      </c>
      <c r="J156" s="3">
        <f>DATEVALUE("2023/12/22 00:00:00")</f>
        <v>45282</v>
      </c>
      <c r="K156" s="3">
        <f>DATEVALUE("2024/01/05 00:00:00")</f>
        <v>45296</v>
      </c>
      <c r="L156" s="4">
        <v>1062</v>
      </c>
      <c r="M156" s="4">
        <v>0</v>
      </c>
      <c r="N156" t="s">
        <v>26</v>
      </c>
      <c r="O156" s="4">
        <v>527.4</v>
      </c>
      <c r="P156" s="4">
        <v>520.20000000000005</v>
      </c>
      <c r="Q156" s="4">
        <v>0</v>
      </c>
      <c r="R156" t="s">
        <v>34</v>
      </c>
      <c r="S156" t="s">
        <v>35</v>
      </c>
    </row>
    <row r="157" spans="1:19" x14ac:dyDescent="0.25">
      <c r="A157" t="s">
        <v>277</v>
      </c>
      <c r="B157" t="s">
        <v>278</v>
      </c>
      <c r="C157" t="s">
        <v>40</v>
      </c>
      <c r="D157" t="s">
        <v>41</v>
      </c>
      <c r="E157" t="s">
        <v>22</v>
      </c>
      <c r="F157" t="s">
        <v>23</v>
      </c>
      <c r="G157" t="s">
        <v>299</v>
      </c>
      <c r="H157" t="s">
        <v>300</v>
      </c>
      <c r="I157" s="3">
        <f>DATEVALUE("2023/08/11 00:00:00")</f>
        <v>45149</v>
      </c>
      <c r="J157" s="3">
        <f>DATEVALUE("2024/01/05 00:00:00")</f>
        <v>45296</v>
      </c>
      <c r="K157" s="3">
        <f>DATEVALUE("2024/01/19 00:00:00")</f>
        <v>45310</v>
      </c>
      <c r="L157" s="4">
        <v>4022.5</v>
      </c>
      <c r="M157" s="4">
        <v>0</v>
      </c>
      <c r="N157" t="s">
        <v>26</v>
      </c>
      <c r="O157" s="4">
        <v>1897.5</v>
      </c>
      <c r="P157" s="4">
        <v>1797.12</v>
      </c>
      <c r="Q157" s="4">
        <v>0</v>
      </c>
      <c r="R157" t="s">
        <v>34</v>
      </c>
      <c r="S157" t="s">
        <v>35</v>
      </c>
    </row>
    <row r="158" spans="1:19" x14ac:dyDescent="0.25">
      <c r="A158" t="s">
        <v>277</v>
      </c>
      <c r="B158" t="s">
        <v>278</v>
      </c>
      <c r="C158" t="s">
        <v>40</v>
      </c>
      <c r="D158" t="s">
        <v>41</v>
      </c>
      <c r="E158" t="s">
        <v>22</v>
      </c>
      <c r="F158" t="s">
        <v>23</v>
      </c>
      <c r="G158" t="s">
        <v>301</v>
      </c>
      <c r="H158" t="s">
        <v>302</v>
      </c>
      <c r="I158" s="3">
        <f>DATEVALUE("2023/08/17 00:00:00")</f>
        <v>45155</v>
      </c>
      <c r="J158" s="3">
        <f>DATEVALUE("2023/12/22 00:00:00")</f>
        <v>45282</v>
      </c>
      <c r="K158" s="3">
        <f>DATEVALUE("2024/01/05 00:00:00")</f>
        <v>45296</v>
      </c>
      <c r="L158" s="4">
        <v>2223</v>
      </c>
      <c r="M158" s="4">
        <v>0</v>
      </c>
      <c r="N158" t="s">
        <v>26</v>
      </c>
      <c r="O158" s="4">
        <v>1192.5</v>
      </c>
      <c r="P158" s="4">
        <v>1162.24</v>
      </c>
      <c r="Q158" s="4">
        <v>0</v>
      </c>
      <c r="R158" t="s">
        <v>34</v>
      </c>
      <c r="S158" t="s">
        <v>35</v>
      </c>
    </row>
    <row r="159" spans="1:19" x14ac:dyDescent="0.25">
      <c r="A159" t="s">
        <v>277</v>
      </c>
      <c r="B159" t="s">
        <v>278</v>
      </c>
      <c r="C159" t="s">
        <v>40</v>
      </c>
      <c r="D159" t="s">
        <v>41</v>
      </c>
      <c r="E159" t="s">
        <v>22</v>
      </c>
      <c r="F159" t="s">
        <v>23</v>
      </c>
      <c r="G159" t="s">
        <v>301</v>
      </c>
      <c r="H159" t="s">
        <v>302</v>
      </c>
      <c r="I159" s="3">
        <f>DATEVALUE("2023/08/17 00:00:00")</f>
        <v>45155</v>
      </c>
      <c r="J159" s="3">
        <f>DATEVALUE("2024/01/19 00:00:00")</f>
        <v>45310</v>
      </c>
      <c r="K159" s="3">
        <f>DATEVALUE("2024/02/02 00:00:00")</f>
        <v>45324</v>
      </c>
      <c r="L159" s="4">
        <v>59055</v>
      </c>
      <c r="M159" s="4">
        <v>0</v>
      </c>
      <c r="N159" t="s">
        <v>26</v>
      </c>
      <c r="O159" s="4">
        <v>25937.5</v>
      </c>
      <c r="P159" s="4">
        <v>25399.1</v>
      </c>
      <c r="Q159" s="4">
        <v>0</v>
      </c>
      <c r="R159" t="s">
        <v>34</v>
      </c>
      <c r="S159" t="s">
        <v>35</v>
      </c>
    </row>
    <row r="160" spans="1:19" x14ac:dyDescent="0.25">
      <c r="A160" t="s">
        <v>277</v>
      </c>
      <c r="B160" t="s">
        <v>278</v>
      </c>
      <c r="C160" t="s">
        <v>40</v>
      </c>
      <c r="D160" t="s">
        <v>41</v>
      </c>
      <c r="E160" t="s">
        <v>22</v>
      </c>
      <c r="F160" t="s">
        <v>23</v>
      </c>
      <c r="G160" t="s">
        <v>303</v>
      </c>
      <c r="H160" t="s">
        <v>304</v>
      </c>
      <c r="I160" s="3">
        <f>DATEVALUE("2023/09/26 00:00:00")</f>
        <v>45195</v>
      </c>
      <c r="J160" s="3">
        <f>DATEVALUE("2024/01/26 00:00:00")</f>
        <v>45317</v>
      </c>
      <c r="K160" s="3">
        <f>DATEVALUE("2024/02/09 00:00:00")</f>
        <v>45331</v>
      </c>
      <c r="L160" s="4">
        <v>1347.5</v>
      </c>
      <c r="M160" s="4">
        <v>0</v>
      </c>
      <c r="N160" t="s">
        <v>26</v>
      </c>
      <c r="O160" s="4">
        <v>675</v>
      </c>
      <c r="P160" s="4">
        <v>662.5</v>
      </c>
      <c r="Q160" s="4">
        <v>0</v>
      </c>
      <c r="R160" t="s">
        <v>34</v>
      </c>
      <c r="S160" t="s">
        <v>35</v>
      </c>
    </row>
    <row r="161" spans="1:19" x14ac:dyDescent="0.25">
      <c r="A161" t="s">
        <v>277</v>
      </c>
      <c r="B161" t="s">
        <v>278</v>
      </c>
      <c r="C161" t="s">
        <v>40</v>
      </c>
      <c r="D161" t="s">
        <v>41</v>
      </c>
      <c r="E161" t="s">
        <v>22</v>
      </c>
      <c r="F161" t="s">
        <v>23</v>
      </c>
      <c r="G161" t="s">
        <v>303</v>
      </c>
      <c r="H161" t="s">
        <v>304</v>
      </c>
      <c r="I161" s="3">
        <f>DATEVALUE("2023/09/26 00:00:00")</f>
        <v>45195</v>
      </c>
      <c r="J161" s="3">
        <f>DATEVALUE("2024/02/09 00:00:00")</f>
        <v>45331</v>
      </c>
      <c r="K161" s="3">
        <f>DATEVALUE("2024/02/23 00:00:00")</f>
        <v>45345</v>
      </c>
      <c r="L161" s="4">
        <v>65076</v>
      </c>
      <c r="M161" s="4">
        <v>0</v>
      </c>
      <c r="N161" t="s">
        <v>26</v>
      </c>
      <c r="O161" s="4">
        <v>15807</v>
      </c>
      <c r="P161" s="4">
        <v>15784.82</v>
      </c>
      <c r="Q161" s="4">
        <v>0</v>
      </c>
      <c r="R161" t="s">
        <v>34</v>
      </c>
      <c r="S161" t="s">
        <v>35</v>
      </c>
    </row>
    <row r="162" spans="1:19" x14ac:dyDescent="0.25">
      <c r="A162" t="s">
        <v>277</v>
      </c>
      <c r="B162" t="s">
        <v>278</v>
      </c>
      <c r="C162" t="s">
        <v>40</v>
      </c>
      <c r="D162" t="s">
        <v>41</v>
      </c>
      <c r="E162" t="s">
        <v>22</v>
      </c>
      <c r="F162" t="s">
        <v>23</v>
      </c>
      <c r="G162" t="s">
        <v>303</v>
      </c>
      <c r="H162" t="s">
        <v>304</v>
      </c>
      <c r="I162" s="3">
        <f>DATEVALUE("2023/09/26 00:00:00")</f>
        <v>45195</v>
      </c>
      <c r="J162" s="3">
        <f>DATEVALUE("2024/01/19 00:00:00")</f>
        <v>45310</v>
      </c>
      <c r="K162" s="3">
        <f>DATEVALUE("2024/02/02 00:00:00")</f>
        <v>45324</v>
      </c>
      <c r="L162" s="4">
        <v>65076</v>
      </c>
      <c r="M162" s="4">
        <v>0</v>
      </c>
      <c r="N162" t="s">
        <v>26</v>
      </c>
      <c r="O162" s="4">
        <v>15807</v>
      </c>
      <c r="P162" s="4">
        <v>15552</v>
      </c>
      <c r="Q162" s="4">
        <v>0</v>
      </c>
      <c r="R162" t="s">
        <v>34</v>
      </c>
      <c r="S162" t="s">
        <v>35</v>
      </c>
    </row>
    <row r="163" spans="1:19" x14ac:dyDescent="0.25">
      <c r="A163" t="s">
        <v>277</v>
      </c>
      <c r="B163" t="s">
        <v>278</v>
      </c>
      <c r="C163" t="s">
        <v>40</v>
      </c>
      <c r="D163" t="s">
        <v>41</v>
      </c>
      <c r="E163" t="s">
        <v>22</v>
      </c>
      <c r="F163" t="s">
        <v>23</v>
      </c>
      <c r="G163" t="s">
        <v>305</v>
      </c>
      <c r="H163" t="s">
        <v>306</v>
      </c>
      <c r="I163" s="3">
        <f>DATEVALUE("2023/09/26 00:00:00")</f>
        <v>45195</v>
      </c>
      <c r="J163" s="3">
        <f>DATEVALUE("2024/01/19 00:00:00")</f>
        <v>45310</v>
      </c>
      <c r="K163" s="3">
        <f>DATEVALUE("2024/02/02 00:00:00")</f>
        <v>45324</v>
      </c>
      <c r="L163" s="4">
        <v>34824.800000000003</v>
      </c>
      <c r="M163" s="4">
        <v>0</v>
      </c>
      <c r="N163" t="s">
        <v>26</v>
      </c>
      <c r="O163" s="4">
        <v>18666.400000000001</v>
      </c>
      <c r="P163" s="4">
        <v>17585.259999999998</v>
      </c>
      <c r="Q163" s="4">
        <v>0</v>
      </c>
      <c r="R163" t="s">
        <v>34</v>
      </c>
      <c r="S163" t="s">
        <v>35</v>
      </c>
    </row>
    <row r="164" spans="1:19" x14ac:dyDescent="0.25">
      <c r="A164" t="s">
        <v>277</v>
      </c>
      <c r="B164" t="s">
        <v>278</v>
      </c>
      <c r="C164" t="s">
        <v>44</v>
      </c>
      <c r="D164" t="s">
        <v>45</v>
      </c>
      <c r="E164" t="s">
        <v>22</v>
      </c>
      <c r="F164" t="s">
        <v>23</v>
      </c>
      <c r="G164" t="s">
        <v>307</v>
      </c>
      <c r="H164" t="s">
        <v>308</v>
      </c>
      <c r="I164" s="3">
        <f>DATEVALUE("2023/10/20 00:00:00")</f>
        <v>45219</v>
      </c>
      <c r="J164" s="3">
        <f>DATEVALUE("2023/12/30 00:00:00")</f>
        <v>45290</v>
      </c>
      <c r="K164" s="3">
        <f>DATEVALUE("2024/01/12 00:00:00")</f>
        <v>45303</v>
      </c>
      <c r="L164" s="4">
        <v>35481.599999999999</v>
      </c>
      <c r="M164" s="4">
        <v>0</v>
      </c>
      <c r="N164" t="s">
        <v>26</v>
      </c>
      <c r="O164" s="4">
        <v>19292.16</v>
      </c>
      <c r="P164" s="4">
        <v>18616.32</v>
      </c>
      <c r="Q164" s="4">
        <v>0</v>
      </c>
      <c r="R164" t="s">
        <v>34</v>
      </c>
      <c r="S164" t="s">
        <v>35</v>
      </c>
    </row>
    <row r="165" spans="1:19" x14ac:dyDescent="0.25">
      <c r="A165" t="s">
        <v>277</v>
      </c>
      <c r="B165" t="s">
        <v>278</v>
      </c>
      <c r="C165" t="s">
        <v>44</v>
      </c>
      <c r="D165" t="s">
        <v>45</v>
      </c>
      <c r="E165" t="s">
        <v>22</v>
      </c>
      <c r="F165" t="s">
        <v>23</v>
      </c>
      <c r="G165" t="s">
        <v>309</v>
      </c>
      <c r="H165" t="s">
        <v>310</v>
      </c>
      <c r="I165" s="3">
        <f>DATEVALUE("2023/10/20 00:00:00")</f>
        <v>45219</v>
      </c>
      <c r="J165" s="3">
        <f>DATEVALUE("2023/12/30 00:00:00")</f>
        <v>45290</v>
      </c>
      <c r="K165" s="3">
        <f>DATEVALUE("2024/01/12 00:00:00")</f>
        <v>45303</v>
      </c>
      <c r="L165" s="4">
        <v>35481.599999999999</v>
      </c>
      <c r="M165" s="4">
        <v>0</v>
      </c>
      <c r="N165" t="s">
        <v>26</v>
      </c>
      <c r="O165" s="4">
        <v>19292.16</v>
      </c>
      <c r="P165" s="4">
        <v>18524.16</v>
      </c>
      <c r="Q165" s="4">
        <v>0</v>
      </c>
      <c r="R165" t="s">
        <v>34</v>
      </c>
      <c r="S165" t="s">
        <v>35</v>
      </c>
    </row>
    <row r="166" spans="1:19" x14ac:dyDescent="0.25">
      <c r="A166" t="s">
        <v>277</v>
      </c>
      <c r="B166" t="s">
        <v>278</v>
      </c>
      <c r="C166" t="s">
        <v>273</v>
      </c>
      <c r="D166" t="s">
        <v>274</v>
      </c>
      <c r="E166" t="s">
        <v>22</v>
      </c>
      <c r="F166" t="s">
        <v>23</v>
      </c>
      <c r="G166" t="s">
        <v>311</v>
      </c>
      <c r="H166" t="s">
        <v>312</v>
      </c>
      <c r="I166" s="3">
        <f>DATEVALUE("2023/10/16 00:00:00")</f>
        <v>45215</v>
      </c>
      <c r="J166" s="3">
        <f>DATEVALUE("2024/01/13 00:00:00")</f>
        <v>45304</v>
      </c>
      <c r="K166" s="3">
        <f>DATEVALUE("2024/01/20 00:00:00")</f>
        <v>45311</v>
      </c>
      <c r="L166" s="4">
        <v>35200.32</v>
      </c>
      <c r="M166" s="4">
        <v>0</v>
      </c>
      <c r="N166" t="s">
        <v>26</v>
      </c>
      <c r="O166" s="4">
        <v>17393.04</v>
      </c>
      <c r="P166" s="4">
        <v>16599.47</v>
      </c>
      <c r="Q166" s="4">
        <v>0</v>
      </c>
      <c r="R166" t="s">
        <v>34</v>
      </c>
      <c r="S166" t="s">
        <v>35</v>
      </c>
    </row>
    <row r="167" spans="1:19" x14ac:dyDescent="0.25">
      <c r="A167" t="s">
        <v>313</v>
      </c>
      <c r="B167" t="s">
        <v>314</v>
      </c>
      <c r="C167" t="s">
        <v>315</v>
      </c>
      <c r="D167" t="s">
        <v>316</v>
      </c>
      <c r="E167" t="s">
        <v>22</v>
      </c>
      <c r="F167" t="s">
        <v>23</v>
      </c>
      <c r="G167" t="s">
        <v>317</v>
      </c>
      <c r="H167" t="s">
        <v>318</v>
      </c>
      <c r="I167" s="3">
        <f>DATEVALUE("2024/09/03 00:00:00")</f>
        <v>45538</v>
      </c>
      <c r="J167" s="3">
        <f>DATEVALUE("2024/10/21 00:00:00")</f>
        <v>45586</v>
      </c>
      <c r="K167" s="3">
        <f>DATEVALUE("2024/10/28 00:00:00")</f>
        <v>45593</v>
      </c>
      <c r="L167" s="4">
        <v>42000</v>
      </c>
      <c r="M167" s="4">
        <v>42000</v>
      </c>
      <c r="N167" t="s">
        <v>319</v>
      </c>
      <c r="O167" s="4">
        <v>4.7699999999999996</v>
      </c>
      <c r="P167" s="4">
        <v>0</v>
      </c>
      <c r="Q167" s="4">
        <v>4.7699999999999996</v>
      </c>
      <c r="R167" t="s">
        <v>27</v>
      </c>
      <c r="S167" t="s">
        <v>1</v>
      </c>
    </row>
    <row r="168" spans="1:19" x14ac:dyDescent="0.25">
      <c r="A168" t="s">
        <v>313</v>
      </c>
      <c r="B168" t="s">
        <v>314</v>
      </c>
      <c r="C168" t="s">
        <v>30</v>
      </c>
      <c r="D168" t="s">
        <v>31</v>
      </c>
      <c r="E168" t="s">
        <v>22</v>
      </c>
      <c r="F168" t="s">
        <v>23</v>
      </c>
      <c r="G168" t="s">
        <v>320</v>
      </c>
      <c r="H168" t="s">
        <v>321</v>
      </c>
      <c r="I168" s="3">
        <f>DATEVALUE("2023/12/26 00:00:00")</f>
        <v>45286</v>
      </c>
      <c r="J168" s="3">
        <f>DATEVALUE("2024/04/18 00:00:00")</f>
        <v>45400</v>
      </c>
      <c r="K168" s="3">
        <f>DATEVALUE("2024/04/25 00:00:00")</f>
        <v>45407</v>
      </c>
      <c r="L168" s="4">
        <v>3027.19</v>
      </c>
      <c r="M168" s="4">
        <v>0</v>
      </c>
      <c r="N168" t="s">
        <v>26</v>
      </c>
      <c r="O168" s="4">
        <v>700.56</v>
      </c>
      <c r="P168" s="4">
        <v>677.59</v>
      </c>
      <c r="Q168" s="4">
        <v>0</v>
      </c>
      <c r="R168" t="s">
        <v>34</v>
      </c>
      <c r="S168" t="s">
        <v>35</v>
      </c>
    </row>
    <row r="169" spans="1:19" x14ac:dyDescent="0.25">
      <c r="A169" t="s">
        <v>313</v>
      </c>
      <c r="B169" t="s">
        <v>314</v>
      </c>
      <c r="C169" t="s">
        <v>30</v>
      </c>
      <c r="D169" t="s">
        <v>31</v>
      </c>
      <c r="E169" t="s">
        <v>22</v>
      </c>
      <c r="F169" t="s">
        <v>23</v>
      </c>
      <c r="G169" t="s">
        <v>322</v>
      </c>
      <c r="H169" t="s">
        <v>323</v>
      </c>
      <c r="I169" s="3">
        <f>DATEVALUE("2024/01/29 00:00:00")</f>
        <v>45320</v>
      </c>
      <c r="J169" s="3">
        <f>DATEVALUE("2024/05/05 00:00:00")</f>
        <v>45417</v>
      </c>
      <c r="K169" s="3">
        <f>DATEVALUE("2024/05/12 00:00:00")</f>
        <v>45424</v>
      </c>
      <c r="L169" s="4">
        <v>3346.9</v>
      </c>
      <c r="M169" s="4">
        <v>0</v>
      </c>
      <c r="N169" t="s">
        <v>26</v>
      </c>
      <c r="O169" s="4">
        <v>940.8</v>
      </c>
      <c r="P169" s="4">
        <v>983.65</v>
      </c>
      <c r="Q169" s="4">
        <v>0</v>
      </c>
      <c r="R169" t="s">
        <v>34</v>
      </c>
      <c r="S169" t="s">
        <v>35</v>
      </c>
    </row>
    <row r="170" spans="1:19" x14ac:dyDescent="0.25">
      <c r="A170" t="s">
        <v>313</v>
      </c>
      <c r="B170" t="s">
        <v>314</v>
      </c>
      <c r="C170" t="s">
        <v>106</v>
      </c>
      <c r="D170" t="s">
        <v>107</v>
      </c>
      <c r="E170" t="s">
        <v>22</v>
      </c>
      <c r="F170" t="s">
        <v>23</v>
      </c>
      <c r="G170" t="s">
        <v>324</v>
      </c>
      <c r="H170" t="s">
        <v>325</v>
      </c>
      <c r="I170" s="3">
        <f>DATEVALUE("2023/12/25 00:00:00")</f>
        <v>45285</v>
      </c>
      <c r="J170" s="3">
        <f>DATEVALUE("2024/04/25 00:00:00")</f>
        <v>45407</v>
      </c>
      <c r="K170" s="3">
        <f>DATEVALUE("2024/05/02 00:00:00")</f>
        <v>45414</v>
      </c>
      <c r="L170" s="4">
        <v>96602.32</v>
      </c>
      <c r="M170" s="4">
        <v>0</v>
      </c>
      <c r="N170" t="s">
        <v>64</v>
      </c>
      <c r="O170" s="4">
        <v>48104.36</v>
      </c>
      <c r="P170" s="4">
        <v>49055.09</v>
      </c>
      <c r="Q170" s="4">
        <v>0</v>
      </c>
      <c r="R170" t="s">
        <v>34</v>
      </c>
      <c r="S170" t="s">
        <v>35</v>
      </c>
    </row>
    <row r="171" spans="1:19" x14ac:dyDescent="0.25">
      <c r="A171" t="s">
        <v>313</v>
      </c>
      <c r="B171" t="s">
        <v>314</v>
      </c>
      <c r="C171" t="s">
        <v>106</v>
      </c>
      <c r="D171" t="s">
        <v>107</v>
      </c>
      <c r="E171" t="s">
        <v>22</v>
      </c>
      <c r="F171" t="s">
        <v>23</v>
      </c>
      <c r="G171" t="s">
        <v>324</v>
      </c>
      <c r="H171" t="s">
        <v>325</v>
      </c>
      <c r="I171" s="3">
        <f>DATEVALUE("2023/12/25 00:00:00")</f>
        <v>45285</v>
      </c>
      <c r="J171" s="3">
        <f>DATEVALUE("2024/05/15 00:00:00")</f>
        <v>45427</v>
      </c>
      <c r="K171" s="3">
        <f>DATEVALUE("2024/05/22 00:00:00")</f>
        <v>45434</v>
      </c>
      <c r="L171" s="4">
        <v>1467</v>
      </c>
      <c r="M171" s="4">
        <v>0</v>
      </c>
      <c r="N171" t="s">
        <v>64</v>
      </c>
      <c r="O171" s="4">
        <v>628</v>
      </c>
      <c r="P171" s="4">
        <v>656.51</v>
      </c>
      <c r="Q171" s="4">
        <v>0</v>
      </c>
      <c r="R171" t="s">
        <v>34</v>
      </c>
      <c r="S171" t="s">
        <v>35</v>
      </c>
    </row>
    <row r="172" spans="1:19" x14ac:dyDescent="0.25">
      <c r="A172" t="s">
        <v>313</v>
      </c>
      <c r="B172" t="s">
        <v>314</v>
      </c>
      <c r="C172" t="s">
        <v>106</v>
      </c>
      <c r="D172" t="s">
        <v>107</v>
      </c>
      <c r="E172" t="s">
        <v>22</v>
      </c>
      <c r="F172" t="s">
        <v>23</v>
      </c>
      <c r="G172" t="s">
        <v>326</v>
      </c>
      <c r="H172" t="s">
        <v>327</v>
      </c>
      <c r="I172" s="3">
        <f>DATEVALUE("2024/01/11 00:00:00")</f>
        <v>45302</v>
      </c>
      <c r="J172" s="3">
        <f>DATEVALUE("2024/05/08 00:00:00")</f>
        <v>45420</v>
      </c>
      <c r="K172" s="3">
        <f>DATEVALUE("2024/05/15 00:00:00")</f>
        <v>45427</v>
      </c>
      <c r="L172" s="4">
        <v>2813.76</v>
      </c>
      <c r="M172" s="4">
        <v>0</v>
      </c>
      <c r="N172" t="s">
        <v>64</v>
      </c>
      <c r="O172" s="4">
        <v>1592.64</v>
      </c>
      <c r="P172" s="4">
        <v>1639.96</v>
      </c>
      <c r="Q172" s="4">
        <v>0</v>
      </c>
      <c r="R172" t="s">
        <v>34</v>
      </c>
      <c r="S172" t="s">
        <v>35</v>
      </c>
    </row>
    <row r="173" spans="1:19" x14ac:dyDescent="0.25">
      <c r="A173" t="s">
        <v>313</v>
      </c>
      <c r="B173" t="s">
        <v>314</v>
      </c>
      <c r="C173" t="s">
        <v>106</v>
      </c>
      <c r="D173" t="s">
        <v>107</v>
      </c>
      <c r="E173" t="s">
        <v>22</v>
      </c>
      <c r="F173" t="s">
        <v>23</v>
      </c>
      <c r="G173" t="s">
        <v>328</v>
      </c>
      <c r="H173" t="s">
        <v>329</v>
      </c>
      <c r="I173" s="3">
        <f>DATEVALUE("2024/01/23 00:00:00")</f>
        <v>45314</v>
      </c>
      <c r="J173" s="3">
        <f>DATEVALUE("2024/05/06 00:00:00")</f>
        <v>45418</v>
      </c>
      <c r="K173" s="3">
        <f>DATEVALUE("2024/05/13 00:00:00")</f>
        <v>45425</v>
      </c>
      <c r="L173" s="4">
        <v>79789.899999999994</v>
      </c>
      <c r="M173" s="4">
        <v>0</v>
      </c>
      <c r="N173" t="s">
        <v>64</v>
      </c>
      <c r="O173" s="4">
        <v>40795.599999999999</v>
      </c>
      <c r="P173" s="4">
        <v>41174.29</v>
      </c>
      <c r="Q173" s="4">
        <v>0</v>
      </c>
      <c r="R173" t="s">
        <v>34</v>
      </c>
      <c r="S173" t="s">
        <v>35</v>
      </c>
    </row>
    <row r="174" spans="1:19" x14ac:dyDescent="0.25">
      <c r="A174" t="s">
        <v>313</v>
      </c>
      <c r="B174" t="s">
        <v>314</v>
      </c>
      <c r="C174" t="s">
        <v>106</v>
      </c>
      <c r="D174" t="s">
        <v>107</v>
      </c>
      <c r="E174" t="s">
        <v>22</v>
      </c>
      <c r="F174" t="s">
        <v>23</v>
      </c>
      <c r="G174" t="s">
        <v>330</v>
      </c>
      <c r="H174" t="s">
        <v>331</v>
      </c>
      <c r="I174" s="3">
        <f>DATEVALUE("2024/03/12 00:00:00")</f>
        <v>45363</v>
      </c>
      <c r="J174" s="3">
        <f>DATEVALUE("2024/06/29 00:00:00")</f>
        <v>45472</v>
      </c>
      <c r="K174" s="3">
        <f>DATEVALUE("2024/07/06 00:00:00")</f>
        <v>45479</v>
      </c>
      <c r="L174" s="4">
        <v>57830.05</v>
      </c>
      <c r="M174" s="4">
        <v>0</v>
      </c>
      <c r="N174" t="s">
        <v>64</v>
      </c>
      <c r="O174" s="4">
        <v>29079.43</v>
      </c>
      <c r="P174" s="4">
        <v>30217.67</v>
      </c>
      <c r="Q174" s="4">
        <v>0</v>
      </c>
      <c r="R174" t="s">
        <v>34</v>
      </c>
      <c r="S174" t="s">
        <v>35</v>
      </c>
    </row>
    <row r="175" spans="1:19" x14ac:dyDescent="0.25">
      <c r="A175" t="s">
        <v>313</v>
      </c>
      <c r="B175" t="s">
        <v>314</v>
      </c>
      <c r="C175" t="s">
        <v>106</v>
      </c>
      <c r="D175" t="s">
        <v>107</v>
      </c>
      <c r="E175" t="s">
        <v>22</v>
      </c>
      <c r="F175" t="s">
        <v>23</v>
      </c>
      <c r="G175" t="s">
        <v>330</v>
      </c>
      <c r="H175" t="s">
        <v>331</v>
      </c>
      <c r="I175" s="3">
        <f>DATEVALUE("2024/03/12 00:00:00")</f>
        <v>45363</v>
      </c>
      <c r="J175" s="3">
        <f>DATEVALUE("2024/07/19 00:00:00")</f>
        <v>45492</v>
      </c>
      <c r="K175" s="3">
        <f>DATEVALUE("2024/07/06 00:00:00")</f>
        <v>45479</v>
      </c>
      <c r="L175" s="4">
        <v>4199.6400000000003</v>
      </c>
      <c r="M175" s="4">
        <v>0</v>
      </c>
      <c r="N175" t="s">
        <v>64</v>
      </c>
      <c r="O175" s="4">
        <v>1772.28</v>
      </c>
      <c r="P175" s="4">
        <v>1783.65</v>
      </c>
      <c r="Q175" s="4">
        <v>0</v>
      </c>
      <c r="R175" t="s">
        <v>34</v>
      </c>
      <c r="S175" t="s">
        <v>35</v>
      </c>
    </row>
    <row r="176" spans="1:19" x14ac:dyDescent="0.25">
      <c r="A176" t="s">
        <v>313</v>
      </c>
      <c r="B176" t="s">
        <v>314</v>
      </c>
      <c r="C176" t="s">
        <v>106</v>
      </c>
      <c r="D176" t="s">
        <v>107</v>
      </c>
      <c r="E176" t="s">
        <v>22</v>
      </c>
      <c r="F176" t="s">
        <v>23</v>
      </c>
      <c r="G176" t="s">
        <v>332</v>
      </c>
      <c r="H176" t="s">
        <v>333</v>
      </c>
      <c r="I176" s="3">
        <f>DATEVALUE("2024/06/18 00:00:00")</f>
        <v>45461</v>
      </c>
      <c r="J176" s="3">
        <f>DATEVALUE("2024/09/06 00:00:00")</f>
        <v>45541</v>
      </c>
      <c r="K176" s="3">
        <f>DATEVALUE("2024/09/13 00:00:00")</f>
        <v>45548</v>
      </c>
      <c r="L176" s="4">
        <v>860.16</v>
      </c>
      <c r="M176" s="4">
        <v>0</v>
      </c>
      <c r="N176" t="s">
        <v>64</v>
      </c>
      <c r="O176" s="4">
        <v>441.6</v>
      </c>
      <c r="P176" s="4">
        <v>444.4</v>
      </c>
      <c r="Q176" s="4">
        <v>0</v>
      </c>
      <c r="R176" t="s">
        <v>34</v>
      </c>
      <c r="S176" t="s">
        <v>35</v>
      </c>
    </row>
    <row r="177" spans="1:19" x14ac:dyDescent="0.25">
      <c r="A177" t="s">
        <v>313</v>
      </c>
      <c r="B177" t="s">
        <v>314</v>
      </c>
      <c r="C177" t="s">
        <v>106</v>
      </c>
      <c r="D177" t="s">
        <v>107</v>
      </c>
      <c r="E177" t="s">
        <v>22</v>
      </c>
      <c r="F177" t="s">
        <v>23</v>
      </c>
      <c r="G177" t="s">
        <v>334</v>
      </c>
      <c r="H177" t="s">
        <v>335</v>
      </c>
      <c r="I177" s="3">
        <f>DATEVALUE("2024/07/26 00:00:00")</f>
        <v>45499</v>
      </c>
      <c r="J177" s="3">
        <f>DATEVALUE("2024/10/23 00:00:00")</f>
        <v>45588</v>
      </c>
      <c r="K177" s="3">
        <f>DATEVALUE("2024/10/30 00:00:00")</f>
        <v>45595</v>
      </c>
      <c r="L177" s="4">
        <v>18772.23</v>
      </c>
      <c r="M177" s="4">
        <v>14376.2</v>
      </c>
      <c r="N177" t="s">
        <v>64</v>
      </c>
      <c r="O177" s="4">
        <v>9223.2800000000007</v>
      </c>
      <c r="P177" s="4">
        <v>2140.8000000000002</v>
      </c>
      <c r="Q177" s="4">
        <v>7082.48</v>
      </c>
      <c r="R177" t="s">
        <v>27</v>
      </c>
      <c r="S177" t="s">
        <v>336</v>
      </c>
    </row>
    <row r="178" spans="1:19" x14ac:dyDescent="0.25">
      <c r="A178" t="s">
        <v>313</v>
      </c>
      <c r="B178" t="s">
        <v>314</v>
      </c>
      <c r="C178" t="s">
        <v>106</v>
      </c>
      <c r="D178" t="s">
        <v>107</v>
      </c>
      <c r="E178" t="s">
        <v>108</v>
      </c>
      <c r="F178" t="s">
        <v>109</v>
      </c>
      <c r="G178" t="s">
        <v>334</v>
      </c>
      <c r="H178" t="s">
        <v>335</v>
      </c>
      <c r="I178" s="3">
        <f>DATEVALUE("2024/07/26 00:00:00")</f>
        <v>45499</v>
      </c>
      <c r="J178" s="3">
        <f>DATEVALUE("2024/10/23 00:00:00")</f>
        <v>45588</v>
      </c>
      <c r="K178" s="3">
        <f>DATEVALUE("2024/10/30 00:00:00")</f>
        <v>45595</v>
      </c>
      <c r="L178" s="4">
        <v>1461.89</v>
      </c>
      <c r="M178" s="4">
        <v>0</v>
      </c>
      <c r="N178" t="s">
        <v>64</v>
      </c>
      <c r="O178" s="4">
        <v>483.84</v>
      </c>
      <c r="P178" s="4">
        <v>444.04</v>
      </c>
      <c r="Q178" s="4">
        <v>0</v>
      </c>
      <c r="R178" t="s">
        <v>34</v>
      </c>
      <c r="S178" t="s">
        <v>35</v>
      </c>
    </row>
    <row r="179" spans="1:19" x14ac:dyDescent="0.25">
      <c r="A179" t="s">
        <v>313</v>
      </c>
      <c r="B179" t="s">
        <v>314</v>
      </c>
      <c r="C179" t="s">
        <v>106</v>
      </c>
      <c r="D179" t="s">
        <v>107</v>
      </c>
      <c r="E179" t="s">
        <v>22</v>
      </c>
      <c r="F179" t="s">
        <v>23</v>
      </c>
      <c r="G179" t="s">
        <v>334</v>
      </c>
      <c r="H179" t="s">
        <v>335</v>
      </c>
      <c r="I179" s="3">
        <f>DATEVALUE("2024/07/26 00:00:00")</f>
        <v>45499</v>
      </c>
      <c r="J179" s="3">
        <f>DATEVALUE("2024/10/23 00:00:00")</f>
        <v>45588</v>
      </c>
      <c r="K179" s="3">
        <f>DATEVALUE("2024/10/30 00:00:00")</f>
        <v>45595</v>
      </c>
      <c r="L179" s="4">
        <v>55901.120000000003</v>
      </c>
      <c r="M179" s="4">
        <v>0</v>
      </c>
      <c r="N179" t="s">
        <v>64</v>
      </c>
      <c r="O179" s="4">
        <v>29593.4</v>
      </c>
      <c r="P179" s="4">
        <v>30456.43</v>
      </c>
      <c r="Q179" s="4">
        <v>0</v>
      </c>
      <c r="R179" t="s">
        <v>34</v>
      </c>
      <c r="S179" t="s">
        <v>35</v>
      </c>
    </row>
    <row r="180" spans="1:19" x14ac:dyDescent="0.25">
      <c r="A180" t="s">
        <v>313</v>
      </c>
      <c r="B180" t="s">
        <v>314</v>
      </c>
      <c r="C180" t="s">
        <v>106</v>
      </c>
      <c r="D180" t="s">
        <v>107</v>
      </c>
      <c r="E180" t="s">
        <v>22</v>
      </c>
      <c r="F180" t="s">
        <v>23</v>
      </c>
      <c r="G180" t="s">
        <v>334</v>
      </c>
      <c r="H180" t="s">
        <v>335</v>
      </c>
      <c r="I180" s="3">
        <f>DATEVALUE("2024/07/26 00:00:00")</f>
        <v>45499</v>
      </c>
      <c r="J180" s="3">
        <f>DATEVALUE("2024/09/20 00:00:00")</f>
        <v>45555</v>
      </c>
      <c r="K180" s="3">
        <f>DATEVALUE("2024/10/30 00:00:00")</f>
        <v>45595</v>
      </c>
      <c r="L180" s="4">
        <v>12553.92</v>
      </c>
      <c r="M180" s="4">
        <v>0</v>
      </c>
      <c r="N180" t="s">
        <v>64</v>
      </c>
      <c r="O180" s="4">
        <v>6631.2</v>
      </c>
      <c r="P180" s="4">
        <v>6720.5</v>
      </c>
      <c r="Q180" s="4">
        <v>0</v>
      </c>
      <c r="R180" t="s">
        <v>34</v>
      </c>
      <c r="S180" t="s">
        <v>35</v>
      </c>
    </row>
    <row r="181" spans="1:19" x14ac:dyDescent="0.25">
      <c r="A181" t="s">
        <v>313</v>
      </c>
      <c r="B181" t="s">
        <v>314</v>
      </c>
      <c r="C181" t="s">
        <v>106</v>
      </c>
      <c r="D181" t="s">
        <v>107</v>
      </c>
      <c r="E181" t="s">
        <v>22</v>
      </c>
      <c r="F181" t="s">
        <v>23</v>
      </c>
      <c r="G181" t="s">
        <v>337</v>
      </c>
      <c r="H181" t="s">
        <v>338</v>
      </c>
      <c r="I181" s="3">
        <f>DATEVALUE("2024/07/26 00:00:00")</f>
        <v>45499</v>
      </c>
      <c r="J181" s="3">
        <f>DATEVALUE("2024/10/23 00:00:00")</f>
        <v>45588</v>
      </c>
      <c r="K181" s="3">
        <f>DATEVALUE("2024/10/30 00:00:00")</f>
        <v>45595</v>
      </c>
      <c r="L181" s="4">
        <v>13386.24</v>
      </c>
      <c r="M181" s="4">
        <v>3288.32</v>
      </c>
      <c r="N181" t="s">
        <v>64</v>
      </c>
      <c r="O181" s="4">
        <v>4118.3999999999996</v>
      </c>
      <c r="P181" s="4">
        <v>2994.05</v>
      </c>
      <c r="Q181" s="4">
        <v>1124.3499999999999</v>
      </c>
      <c r="R181" t="s">
        <v>27</v>
      </c>
      <c r="S181" t="s">
        <v>339</v>
      </c>
    </row>
    <row r="182" spans="1:19" x14ac:dyDescent="0.25">
      <c r="A182" t="s">
        <v>313</v>
      </c>
      <c r="B182" t="s">
        <v>314</v>
      </c>
      <c r="C182" t="s">
        <v>106</v>
      </c>
      <c r="D182" t="s">
        <v>107</v>
      </c>
      <c r="E182" t="s">
        <v>22</v>
      </c>
      <c r="F182" t="s">
        <v>23</v>
      </c>
      <c r="G182" t="s">
        <v>340</v>
      </c>
      <c r="H182" t="s">
        <v>341</v>
      </c>
      <c r="I182" s="3">
        <f>DATEVALUE("2024/08/19 00:00:00")</f>
        <v>45523</v>
      </c>
      <c r="J182" s="3">
        <f>DATEVALUE("2024/11/29 00:00:00")</f>
        <v>45625</v>
      </c>
      <c r="K182" s="3">
        <f>DATEVALUE("2024/12/06 00:00:00")</f>
        <v>45632</v>
      </c>
      <c r="L182" s="4">
        <v>18166.080000000002</v>
      </c>
      <c r="M182" s="4">
        <v>15029.19</v>
      </c>
      <c r="N182" t="s">
        <v>64</v>
      </c>
      <c r="O182" s="4">
        <v>10324.32</v>
      </c>
      <c r="P182" s="4">
        <v>1699.87</v>
      </c>
      <c r="Q182" s="4">
        <v>8624.4500000000007</v>
      </c>
      <c r="R182" t="s">
        <v>27</v>
      </c>
      <c r="S182" t="s">
        <v>342</v>
      </c>
    </row>
    <row r="183" spans="1:19" x14ac:dyDescent="0.25">
      <c r="A183" t="s">
        <v>313</v>
      </c>
      <c r="B183" t="s">
        <v>314</v>
      </c>
      <c r="C183" t="s">
        <v>106</v>
      </c>
      <c r="D183" t="s">
        <v>107</v>
      </c>
      <c r="E183" t="s">
        <v>22</v>
      </c>
      <c r="F183" t="s">
        <v>23</v>
      </c>
      <c r="G183" t="s">
        <v>343</v>
      </c>
      <c r="H183" t="s">
        <v>344</v>
      </c>
      <c r="I183" s="3">
        <f>DATEVALUE("2024/09/16 00:00:00")</f>
        <v>45551</v>
      </c>
      <c r="J183" s="3">
        <f>DATEVALUE("2024/12/06 00:00:00")</f>
        <v>45632</v>
      </c>
      <c r="K183" s="3">
        <f>DATEVALUE("2024/12/13 00:00:00")</f>
        <v>45639</v>
      </c>
      <c r="L183" s="4">
        <v>13386.24</v>
      </c>
      <c r="M183" s="4">
        <v>13386.24</v>
      </c>
      <c r="N183" t="s">
        <v>64</v>
      </c>
      <c r="O183" s="4">
        <v>4118.3999999999996</v>
      </c>
      <c r="P183" s="4">
        <v>0</v>
      </c>
      <c r="Q183" s="4">
        <v>4118.3999999999996</v>
      </c>
      <c r="R183" t="s">
        <v>27</v>
      </c>
      <c r="S183" t="s">
        <v>1</v>
      </c>
    </row>
    <row r="184" spans="1:19" x14ac:dyDescent="0.25">
      <c r="A184" t="s">
        <v>313</v>
      </c>
      <c r="B184" t="s">
        <v>314</v>
      </c>
      <c r="C184" t="s">
        <v>106</v>
      </c>
      <c r="D184" t="s">
        <v>107</v>
      </c>
      <c r="E184" t="s">
        <v>22</v>
      </c>
      <c r="F184" t="s">
        <v>23</v>
      </c>
      <c r="G184" t="s">
        <v>345</v>
      </c>
      <c r="H184" t="s">
        <v>346</v>
      </c>
      <c r="I184" s="3">
        <f>DATEVALUE("2024/09/23 00:00:00")</f>
        <v>45558</v>
      </c>
      <c r="J184" s="3">
        <f>DATEVALUE("2024/12/23 00:00:00")</f>
        <v>45649</v>
      </c>
      <c r="K184" s="3">
        <f>DATEVALUE("2024/12/30 00:00:00")</f>
        <v>45656</v>
      </c>
      <c r="L184" s="4">
        <v>9031.7999999999993</v>
      </c>
      <c r="M184" s="4">
        <v>9031.7999999999993</v>
      </c>
      <c r="N184" t="s">
        <v>64</v>
      </c>
      <c r="O184" s="4">
        <v>5100.96</v>
      </c>
      <c r="P184" s="4">
        <v>0</v>
      </c>
      <c r="Q184" s="4">
        <v>5100.96</v>
      </c>
      <c r="R184" t="s">
        <v>27</v>
      </c>
      <c r="S184" t="s">
        <v>1</v>
      </c>
    </row>
    <row r="185" spans="1:19" x14ac:dyDescent="0.25">
      <c r="A185" t="s">
        <v>313</v>
      </c>
      <c r="B185" t="s">
        <v>314</v>
      </c>
      <c r="C185" t="s">
        <v>60</v>
      </c>
      <c r="D185" t="s">
        <v>61</v>
      </c>
      <c r="E185" t="s">
        <v>22</v>
      </c>
      <c r="F185" t="s">
        <v>23</v>
      </c>
      <c r="G185" t="s">
        <v>347</v>
      </c>
      <c r="H185" t="s">
        <v>348</v>
      </c>
      <c r="I185" s="3">
        <f>DATEVALUE("2023/12/05 00:00:00")</f>
        <v>45265</v>
      </c>
      <c r="J185" s="3">
        <f>DATEVALUE("2024/06/19 00:00:00")</f>
        <v>45462</v>
      </c>
      <c r="K185" s="3">
        <f>DATEVALUE("2024/06/26 00:00:00")</f>
        <v>45469</v>
      </c>
      <c r="L185" s="4">
        <v>7096.8</v>
      </c>
      <c r="M185" s="4">
        <v>0</v>
      </c>
      <c r="N185" t="s">
        <v>64</v>
      </c>
      <c r="O185" s="4">
        <v>3222.5</v>
      </c>
      <c r="P185" s="4">
        <v>3275.05</v>
      </c>
      <c r="Q185" s="4">
        <v>0</v>
      </c>
      <c r="R185" t="s">
        <v>34</v>
      </c>
      <c r="S185" t="s">
        <v>35</v>
      </c>
    </row>
    <row r="186" spans="1:19" x14ac:dyDescent="0.25">
      <c r="A186" t="s">
        <v>313</v>
      </c>
      <c r="B186" t="s">
        <v>314</v>
      </c>
      <c r="C186" t="s">
        <v>60</v>
      </c>
      <c r="D186" t="s">
        <v>61</v>
      </c>
      <c r="E186" t="s">
        <v>22</v>
      </c>
      <c r="F186" t="s">
        <v>23</v>
      </c>
      <c r="G186" t="s">
        <v>349</v>
      </c>
      <c r="H186" t="s">
        <v>350</v>
      </c>
      <c r="I186" s="3">
        <f>DATEVALUE("2023/12/22 00:00:00")</f>
        <v>45282</v>
      </c>
      <c r="J186" s="3">
        <f>DATEVALUE("2024/04/26 00:00:00")</f>
        <v>45408</v>
      </c>
      <c r="K186" s="3">
        <f>DATEVALUE("2024/05/03 00:00:00")</f>
        <v>45415</v>
      </c>
      <c r="L186" s="4">
        <v>25451.41</v>
      </c>
      <c r="M186" s="4">
        <v>0</v>
      </c>
      <c r="N186" t="s">
        <v>64</v>
      </c>
      <c r="O186" s="4">
        <v>13513.91</v>
      </c>
      <c r="P186" s="4">
        <v>13781.26</v>
      </c>
      <c r="Q186" s="4">
        <v>0</v>
      </c>
      <c r="R186" t="s">
        <v>34</v>
      </c>
      <c r="S186" t="s">
        <v>35</v>
      </c>
    </row>
    <row r="187" spans="1:19" x14ac:dyDescent="0.25">
      <c r="A187" t="s">
        <v>313</v>
      </c>
      <c r="B187" t="s">
        <v>314</v>
      </c>
      <c r="C187" t="s">
        <v>60</v>
      </c>
      <c r="D187" t="s">
        <v>61</v>
      </c>
      <c r="E187" t="s">
        <v>22</v>
      </c>
      <c r="F187" t="s">
        <v>23</v>
      </c>
      <c r="G187" t="s">
        <v>351</v>
      </c>
      <c r="H187" t="s">
        <v>352</v>
      </c>
      <c r="I187" s="3">
        <f>DATEVALUE("2024/02/22 00:00:00")</f>
        <v>45344</v>
      </c>
      <c r="J187" s="3">
        <f>DATEVALUE("2024/12/18 00:00:00")</f>
        <v>45644</v>
      </c>
      <c r="K187" s="3">
        <f>DATEVALUE("2024/12/25 00:00:00")</f>
        <v>45651</v>
      </c>
      <c r="L187" s="4">
        <v>34675.199999999997</v>
      </c>
      <c r="M187" s="4">
        <v>34675.199999999997</v>
      </c>
      <c r="N187" t="s">
        <v>64</v>
      </c>
      <c r="O187" s="4">
        <v>23466.240000000002</v>
      </c>
      <c r="P187" s="4">
        <v>0</v>
      </c>
      <c r="Q187" s="4">
        <v>23466.240000000002</v>
      </c>
      <c r="R187" t="s">
        <v>27</v>
      </c>
      <c r="S187" t="s">
        <v>1</v>
      </c>
    </row>
    <row r="188" spans="1:19" x14ac:dyDescent="0.25">
      <c r="A188" t="s">
        <v>313</v>
      </c>
      <c r="B188" t="s">
        <v>314</v>
      </c>
      <c r="C188" t="s">
        <v>60</v>
      </c>
      <c r="D188" t="s">
        <v>61</v>
      </c>
      <c r="E188" t="s">
        <v>22</v>
      </c>
      <c r="F188" t="s">
        <v>23</v>
      </c>
      <c r="G188" t="s">
        <v>351</v>
      </c>
      <c r="H188" t="s">
        <v>352</v>
      </c>
      <c r="I188" s="3">
        <f>DATEVALUE("2024/02/22 00:00:00")</f>
        <v>45344</v>
      </c>
      <c r="J188" s="3">
        <f>DATEVALUE("2024/10/23 00:00:00")</f>
        <v>45588</v>
      </c>
      <c r="K188" s="3">
        <f>DATEVALUE("2024/10/30 00:00:00")</f>
        <v>45595</v>
      </c>
      <c r="L188" s="4">
        <v>17337.599999999999</v>
      </c>
      <c r="M188" s="4">
        <v>0</v>
      </c>
      <c r="N188" t="s">
        <v>64</v>
      </c>
      <c r="O188" s="4">
        <v>11733.12</v>
      </c>
      <c r="P188" s="4">
        <v>12056.46</v>
      </c>
      <c r="Q188" s="4">
        <v>0</v>
      </c>
      <c r="R188" t="s">
        <v>34</v>
      </c>
      <c r="S188" t="s">
        <v>35</v>
      </c>
    </row>
    <row r="189" spans="1:19" x14ac:dyDescent="0.25">
      <c r="A189" t="s">
        <v>313</v>
      </c>
      <c r="B189" t="s">
        <v>314</v>
      </c>
      <c r="C189" t="s">
        <v>60</v>
      </c>
      <c r="D189" t="s">
        <v>61</v>
      </c>
      <c r="E189" t="s">
        <v>22</v>
      </c>
      <c r="F189" t="s">
        <v>23</v>
      </c>
      <c r="G189" t="s">
        <v>351</v>
      </c>
      <c r="H189" t="s">
        <v>352</v>
      </c>
      <c r="I189" s="3">
        <f>DATEVALUE("2024/02/22 00:00:00")</f>
        <v>45344</v>
      </c>
      <c r="J189" s="3">
        <f>DATEVALUE("2024/08/27 00:00:00")</f>
        <v>45531</v>
      </c>
      <c r="K189" s="3">
        <f>DATEVALUE("2024/09/04 00:00:00")</f>
        <v>45539</v>
      </c>
      <c r="L189" s="4">
        <v>17337.599999999999</v>
      </c>
      <c r="M189" s="4">
        <v>0</v>
      </c>
      <c r="N189" t="s">
        <v>64</v>
      </c>
      <c r="O189" s="4">
        <v>11733.12</v>
      </c>
      <c r="P189" s="4">
        <v>12078.5</v>
      </c>
      <c r="Q189" s="4">
        <v>0</v>
      </c>
      <c r="R189" t="s">
        <v>34</v>
      </c>
      <c r="S189" t="s">
        <v>35</v>
      </c>
    </row>
    <row r="190" spans="1:19" x14ac:dyDescent="0.25">
      <c r="A190" t="s">
        <v>313</v>
      </c>
      <c r="B190" t="s">
        <v>314</v>
      </c>
      <c r="C190" t="s">
        <v>60</v>
      </c>
      <c r="D190" t="s">
        <v>61</v>
      </c>
      <c r="E190" t="s">
        <v>22</v>
      </c>
      <c r="F190" t="s">
        <v>23</v>
      </c>
      <c r="G190" t="s">
        <v>353</v>
      </c>
      <c r="H190" t="s">
        <v>354</v>
      </c>
      <c r="I190" s="3">
        <f>DATEVALUE("2024/03/13 00:00:00")</f>
        <v>45364</v>
      </c>
      <c r="J190" s="3">
        <f>DATEVALUE("2024/07/19 00:00:00")</f>
        <v>45492</v>
      </c>
      <c r="K190" s="3">
        <f>DATEVALUE("2024/07/17 00:00:00")</f>
        <v>45490</v>
      </c>
      <c r="L190" s="4">
        <v>615</v>
      </c>
      <c r="M190" s="4">
        <v>0</v>
      </c>
      <c r="N190" t="s">
        <v>64</v>
      </c>
      <c r="O190" s="4">
        <v>301.5</v>
      </c>
      <c r="P190" s="4">
        <v>300.2</v>
      </c>
      <c r="Q190" s="4">
        <v>0</v>
      </c>
      <c r="R190" t="s">
        <v>34</v>
      </c>
      <c r="S190" t="s">
        <v>35</v>
      </c>
    </row>
    <row r="191" spans="1:19" x14ac:dyDescent="0.25">
      <c r="A191" t="s">
        <v>313</v>
      </c>
      <c r="B191" t="s">
        <v>314</v>
      </c>
      <c r="C191" t="s">
        <v>60</v>
      </c>
      <c r="D191" t="s">
        <v>61</v>
      </c>
      <c r="E191" t="s">
        <v>22</v>
      </c>
      <c r="F191" t="s">
        <v>23</v>
      </c>
      <c r="G191" t="s">
        <v>353</v>
      </c>
      <c r="H191" t="s">
        <v>354</v>
      </c>
      <c r="I191" s="3">
        <f>DATEVALUE("2024/03/13 00:00:00")</f>
        <v>45364</v>
      </c>
      <c r="J191" s="3">
        <f>DATEVALUE("2024/07/10 00:00:00")</f>
        <v>45483</v>
      </c>
      <c r="K191" s="3">
        <f>DATEVALUE("2024/07/17 00:00:00")</f>
        <v>45490</v>
      </c>
      <c r="L191" s="4">
        <v>6870.7</v>
      </c>
      <c r="M191" s="4">
        <v>0</v>
      </c>
      <c r="N191" t="s">
        <v>64</v>
      </c>
      <c r="O191" s="4">
        <v>3227.32</v>
      </c>
      <c r="P191" s="4">
        <v>3365.39</v>
      </c>
      <c r="Q191" s="4">
        <v>0</v>
      </c>
      <c r="R191" t="s">
        <v>34</v>
      </c>
      <c r="S191" t="s">
        <v>35</v>
      </c>
    </row>
    <row r="192" spans="1:19" x14ac:dyDescent="0.25">
      <c r="A192" t="s">
        <v>313</v>
      </c>
      <c r="B192" t="s">
        <v>314</v>
      </c>
      <c r="C192" t="s">
        <v>60</v>
      </c>
      <c r="D192" t="s">
        <v>61</v>
      </c>
      <c r="E192" t="s">
        <v>22</v>
      </c>
      <c r="F192" t="s">
        <v>23</v>
      </c>
      <c r="G192" t="s">
        <v>353</v>
      </c>
      <c r="H192" t="s">
        <v>354</v>
      </c>
      <c r="I192" s="3">
        <f>DATEVALUE("2024/03/13 00:00:00")</f>
        <v>45364</v>
      </c>
      <c r="J192" s="3">
        <f>DATEVALUE("2024/07/17 00:00:00")</f>
        <v>45490</v>
      </c>
      <c r="K192" s="3">
        <f>DATEVALUE("2024/07/17 00:00:00")</f>
        <v>45490</v>
      </c>
      <c r="L192" s="4">
        <v>1138</v>
      </c>
      <c r="M192" s="4">
        <v>0</v>
      </c>
      <c r="N192" t="s">
        <v>64</v>
      </c>
      <c r="O192" s="4">
        <v>602</v>
      </c>
      <c r="P192" s="4">
        <v>637.83000000000004</v>
      </c>
      <c r="Q192" s="4">
        <v>0</v>
      </c>
      <c r="R192" t="s">
        <v>34</v>
      </c>
      <c r="S192" t="s">
        <v>35</v>
      </c>
    </row>
    <row r="193" spans="1:19" x14ac:dyDescent="0.25">
      <c r="A193" t="s">
        <v>313</v>
      </c>
      <c r="B193" t="s">
        <v>314</v>
      </c>
      <c r="C193" t="s">
        <v>60</v>
      </c>
      <c r="D193" t="s">
        <v>61</v>
      </c>
      <c r="E193" t="s">
        <v>22</v>
      </c>
      <c r="F193" t="s">
        <v>23</v>
      </c>
      <c r="G193" t="s">
        <v>355</v>
      </c>
      <c r="H193" t="s">
        <v>356</v>
      </c>
      <c r="I193" s="3">
        <f>DATEVALUE("2024/03/13 00:00:00")</f>
        <v>45364</v>
      </c>
      <c r="J193" s="3">
        <f>DATEVALUE("2024/05/24 00:00:00")</f>
        <v>45436</v>
      </c>
      <c r="K193" s="3">
        <f>DATEVALUE("2024/05/31 00:00:00")</f>
        <v>45443</v>
      </c>
      <c r="L193" s="4">
        <v>13527.4</v>
      </c>
      <c r="M193" s="4">
        <v>0</v>
      </c>
      <c r="N193" t="s">
        <v>64</v>
      </c>
      <c r="O193" s="4">
        <v>8884.02</v>
      </c>
      <c r="P193" s="4">
        <v>9283.7900000000009</v>
      </c>
      <c r="Q193" s="4">
        <v>0</v>
      </c>
      <c r="R193" t="s">
        <v>34</v>
      </c>
      <c r="S193" t="s">
        <v>35</v>
      </c>
    </row>
    <row r="194" spans="1:19" x14ac:dyDescent="0.25">
      <c r="A194" t="s">
        <v>313</v>
      </c>
      <c r="B194" t="s">
        <v>314</v>
      </c>
      <c r="C194" t="s">
        <v>60</v>
      </c>
      <c r="D194" t="s">
        <v>61</v>
      </c>
      <c r="E194" t="s">
        <v>22</v>
      </c>
      <c r="F194" t="s">
        <v>23</v>
      </c>
      <c r="G194" t="s">
        <v>357</v>
      </c>
      <c r="H194" t="s">
        <v>358</v>
      </c>
      <c r="I194" s="3">
        <f>DATEVALUE("2024/03/20 00:00:00")</f>
        <v>45371</v>
      </c>
      <c r="J194" s="3">
        <f>DATEVALUE("2024/09/25 00:00:00")</f>
        <v>45560</v>
      </c>
      <c r="K194" s="3">
        <f>DATEVALUE("2024/10/02 00:00:00")</f>
        <v>45567</v>
      </c>
      <c r="L194" s="4">
        <v>3360</v>
      </c>
      <c r="M194" s="4">
        <v>0</v>
      </c>
      <c r="N194" t="s">
        <v>64</v>
      </c>
      <c r="O194" s="4">
        <v>1732</v>
      </c>
      <c r="P194" s="4">
        <v>1859.37</v>
      </c>
      <c r="Q194" s="4">
        <v>0</v>
      </c>
      <c r="R194" t="s">
        <v>34</v>
      </c>
      <c r="S194" t="s">
        <v>35</v>
      </c>
    </row>
    <row r="195" spans="1:19" x14ac:dyDescent="0.25">
      <c r="A195" t="s">
        <v>313</v>
      </c>
      <c r="B195" t="s">
        <v>314</v>
      </c>
      <c r="C195" t="s">
        <v>60</v>
      </c>
      <c r="D195" t="s">
        <v>61</v>
      </c>
      <c r="E195" t="s">
        <v>22</v>
      </c>
      <c r="F195" t="s">
        <v>23</v>
      </c>
      <c r="G195" t="s">
        <v>359</v>
      </c>
      <c r="H195" t="s">
        <v>360</v>
      </c>
      <c r="I195" s="3">
        <f>DATEVALUE("2024/04/16 00:00:00")</f>
        <v>45398</v>
      </c>
      <c r="J195" s="3">
        <f>DATEVALUE("2024/08/02 00:00:00")</f>
        <v>45506</v>
      </c>
      <c r="K195" s="3">
        <f>DATEVALUE("2024/08/09 00:00:00")</f>
        <v>45513</v>
      </c>
      <c r="L195" s="4">
        <v>2550</v>
      </c>
      <c r="M195" s="4">
        <v>0</v>
      </c>
      <c r="N195" t="s">
        <v>64</v>
      </c>
      <c r="O195" s="4">
        <v>960.8</v>
      </c>
      <c r="P195" s="4">
        <v>945.51</v>
      </c>
      <c r="Q195" s="4">
        <v>0</v>
      </c>
      <c r="R195" t="s">
        <v>34</v>
      </c>
      <c r="S195" t="s">
        <v>35</v>
      </c>
    </row>
    <row r="196" spans="1:19" x14ac:dyDescent="0.25">
      <c r="A196" t="s">
        <v>313</v>
      </c>
      <c r="B196" t="s">
        <v>314</v>
      </c>
      <c r="C196" t="s">
        <v>60</v>
      </c>
      <c r="D196" t="s">
        <v>61</v>
      </c>
      <c r="E196" t="s">
        <v>22</v>
      </c>
      <c r="F196" t="s">
        <v>23</v>
      </c>
      <c r="G196" t="s">
        <v>361</v>
      </c>
      <c r="H196" t="s">
        <v>362</v>
      </c>
      <c r="I196" s="3">
        <f>DATEVALUE("2024/04/22 00:00:00")</f>
        <v>45404</v>
      </c>
      <c r="J196" s="3">
        <f>DATEVALUE("2024/07/30 00:00:00")</f>
        <v>45503</v>
      </c>
      <c r="K196" s="3">
        <f>DATEVALUE("2024/08/06 00:00:00")</f>
        <v>45510</v>
      </c>
      <c r="L196" s="4">
        <v>1344</v>
      </c>
      <c r="M196" s="4">
        <v>0</v>
      </c>
      <c r="N196" t="s">
        <v>64</v>
      </c>
      <c r="O196" s="4">
        <v>350.4</v>
      </c>
      <c r="P196" s="4">
        <v>353.58</v>
      </c>
      <c r="Q196" s="4">
        <v>0</v>
      </c>
      <c r="R196" t="s">
        <v>34</v>
      </c>
      <c r="S196" t="s">
        <v>35</v>
      </c>
    </row>
    <row r="197" spans="1:19" x14ac:dyDescent="0.25">
      <c r="A197" t="s">
        <v>313</v>
      </c>
      <c r="B197" t="s">
        <v>314</v>
      </c>
      <c r="C197" t="s">
        <v>60</v>
      </c>
      <c r="D197" t="s">
        <v>61</v>
      </c>
      <c r="E197" t="s">
        <v>22</v>
      </c>
      <c r="F197" t="s">
        <v>23</v>
      </c>
      <c r="G197" t="s">
        <v>361</v>
      </c>
      <c r="H197" t="s">
        <v>362</v>
      </c>
      <c r="I197" s="3">
        <f>DATEVALUE("2024/04/22 00:00:00")</f>
        <v>45404</v>
      </c>
      <c r="J197" s="3">
        <f>DATEVALUE("2024/07/30 00:00:00")</f>
        <v>45503</v>
      </c>
      <c r="K197" s="3">
        <f>DATEVALUE("2024/07/26 00:00:00")</f>
        <v>45499</v>
      </c>
      <c r="L197" s="4">
        <v>3653</v>
      </c>
      <c r="M197" s="4">
        <v>0</v>
      </c>
      <c r="N197" t="s">
        <v>64</v>
      </c>
      <c r="O197" s="4">
        <v>2356.8000000000002</v>
      </c>
      <c r="P197" s="4">
        <v>2412.87</v>
      </c>
      <c r="Q197" s="4">
        <v>0</v>
      </c>
      <c r="R197" t="s">
        <v>34</v>
      </c>
      <c r="S197" t="s">
        <v>35</v>
      </c>
    </row>
    <row r="198" spans="1:19" x14ac:dyDescent="0.25">
      <c r="A198" t="s">
        <v>313</v>
      </c>
      <c r="B198" t="s">
        <v>314</v>
      </c>
      <c r="C198" t="s">
        <v>60</v>
      </c>
      <c r="D198" t="s">
        <v>61</v>
      </c>
      <c r="E198" t="s">
        <v>22</v>
      </c>
      <c r="F198" t="s">
        <v>23</v>
      </c>
      <c r="G198" t="s">
        <v>361</v>
      </c>
      <c r="H198" t="s">
        <v>362</v>
      </c>
      <c r="I198" s="3">
        <f>DATEVALUE("2024/04/22 00:00:00")</f>
        <v>45404</v>
      </c>
      <c r="J198" s="3">
        <f>DATEVALUE("2024/07/19 00:00:00")</f>
        <v>45492</v>
      </c>
      <c r="K198" s="3">
        <f>DATEVALUE("2024/07/26 00:00:00")</f>
        <v>45499</v>
      </c>
      <c r="L198" s="4">
        <v>10031</v>
      </c>
      <c r="M198" s="4">
        <v>0</v>
      </c>
      <c r="N198" t="s">
        <v>64</v>
      </c>
      <c r="O198" s="4">
        <v>5528.4</v>
      </c>
      <c r="P198" s="4">
        <v>5602.22</v>
      </c>
      <c r="Q198" s="4">
        <v>0</v>
      </c>
      <c r="R198" t="s">
        <v>34</v>
      </c>
      <c r="S198" t="s">
        <v>35</v>
      </c>
    </row>
    <row r="199" spans="1:19" x14ac:dyDescent="0.25">
      <c r="A199" t="s">
        <v>313</v>
      </c>
      <c r="B199" t="s">
        <v>314</v>
      </c>
      <c r="C199" t="s">
        <v>60</v>
      </c>
      <c r="D199" t="s">
        <v>61</v>
      </c>
      <c r="E199" t="s">
        <v>22</v>
      </c>
      <c r="F199" t="s">
        <v>23</v>
      </c>
      <c r="G199" t="s">
        <v>363</v>
      </c>
      <c r="H199" t="s">
        <v>364</v>
      </c>
      <c r="I199" s="3">
        <f>DATEVALUE("2024/07/02 00:00:00")</f>
        <v>45475</v>
      </c>
      <c r="J199" s="3">
        <f>DATEVALUE("2024/09/20 00:00:00")</f>
        <v>45555</v>
      </c>
      <c r="K199" s="3">
        <f>DATEVALUE("2024/10/11 00:00:00")</f>
        <v>45576</v>
      </c>
      <c r="L199" s="4">
        <v>12115</v>
      </c>
      <c r="M199" s="4">
        <v>0</v>
      </c>
      <c r="N199" t="s">
        <v>64</v>
      </c>
      <c r="O199" s="4">
        <v>6833</v>
      </c>
      <c r="P199" s="4">
        <v>7113.08</v>
      </c>
      <c r="Q199" s="4">
        <v>0</v>
      </c>
      <c r="R199" t="s">
        <v>34</v>
      </c>
      <c r="S199" t="s">
        <v>35</v>
      </c>
    </row>
    <row r="200" spans="1:19" x14ac:dyDescent="0.25">
      <c r="A200" t="s">
        <v>313</v>
      </c>
      <c r="B200" t="s">
        <v>314</v>
      </c>
      <c r="C200" t="s">
        <v>60</v>
      </c>
      <c r="D200" t="s">
        <v>61</v>
      </c>
      <c r="E200" t="s">
        <v>22</v>
      </c>
      <c r="F200" t="s">
        <v>23</v>
      </c>
      <c r="G200" t="s">
        <v>365</v>
      </c>
      <c r="H200" t="s">
        <v>366</v>
      </c>
      <c r="I200" s="3">
        <f>DATEVALUE("2024/07/26 00:00:00")</f>
        <v>45499</v>
      </c>
      <c r="J200" s="3">
        <f>DATEVALUE("2024/10/04 00:00:00")</f>
        <v>45569</v>
      </c>
      <c r="K200" s="3">
        <f>DATEVALUE("2024/10/25 00:00:00")</f>
        <v>45590</v>
      </c>
      <c r="L200" s="4">
        <v>11022.18</v>
      </c>
      <c r="M200" s="4">
        <v>0</v>
      </c>
      <c r="N200" t="s">
        <v>64</v>
      </c>
      <c r="O200" s="4">
        <v>5102.78</v>
      </c>
      <c r="P200" s="4">
        <v>5271.05</v>
      </c>
      <c r="Q200" s="4">
        <v>0</v>
      </c>
      <c r="R200" t="s">
        <v>34</v>
      </c>
      <c r="S200" t="s">
        <v>35</v>
      </c>
    </row>
    <row r="201" spans="1:19" x14ac:dyDescent="0.25">
      <c r="A201" t="s">
        <v>313</v>
      </c>
      <c r="B201" t="s">
        <v>314</v>
      </c>
      <c r="C201" t="s">
        <v>142</v>
      </c>
      <c r="D201" t="s">
        <v>143</v>
      </c>
      <c r="E201" t="s">
        <v>22</v>
      </c>
      <c r="F201" t="s">
        <v>23</v>
      </c>
      <c r="G201" t="s">
        <v>367</v>
      </c>
      <c r="H201" t="s">
        <v>368</v>
      </c>
      <c r="I201" s="3">
        <f>DATEVALUE("2023/12/05 00:00:00")</f>
        <v>45265</v>
      </c>
      <c r="J201" s="3">
        <f>DATEVALUE("2024/03/20 00:00:00")</f>
        <v>45371</v>
      </c>
      <c r="K201" s="3">
        <f>DATEVALUE("2024/04/17 00:00:00")</f>
        <v>45399</v>
      </c>
      <c r="L201" s="4">
        <v>14137.8</v>
      </c>
      <c r="M201" s="4">
        <v>0</v>
      </c>
      <c r="N201" t="s">
        <v>26</v>
      </c>
      <c r="O201" s="4">
        <v>7501.3</v>
      </c>
      <c r="P201" s="4">
        <v>7352.71</v>
      </c>
      <c r="Q201" s="4">
        <v>0</v>
      </c>
      <c r="R201" t="s">
        <v>34</v>
      </c>
      <c r="S201" t="s">
        <v>35</v>
      </c>
    </row>
    <row r="202" spans="1:19" x14ac:dyDescent="0.25">
      <c r="A202" t="s">
        <v>313</v>
      </c>
      <c r="B202" t="s">
        <v>314</v>
      </c>
      <c r="C202" t="s">
        <v>142</v>
      </c>
      <c r="D202" t="s">
        <v>143</v>
      </c>
      <c r="E202" t="s">
        <v>22</v>
      </c>
      <c r="F202" t="s">
        <v>23</v>
      </c>
      <c r="G202" t="s">
        <v>369</v>
      </c>
      <c r="H202" t="s">
        <v>370</v>
      </c>
      <c r="I202" s="3">
        <f>DATEVALUE("2024/04/18 00:00:00")</f>
        <v>45400</v>
      </c>
      <c r="J202" s="3">
        <f>DATEVALUE("2024/08/06 00:00:00")</f>
        <v>45510</v>
      </c>
      <c r="K202" s="3">
        <f>DATEVALUE("2024/08/13 00:00:00")</f>
        <v>45517</v>
      </c>
      <c r="L202" s="4">
        <v>27768.5</v>
      </c>
      <c r="M202" s="4">
        <v>0</v>
      </c>
      <c r="N202" t="s">
        <v>26</v>
      </c>
      <c r="O202" s="4">
        <v>13778</v>
      </c>
      <c r="P202" s="4">
        <v>14390.28</v>
      </c>
      <c r="Q202" s="4">
        <v>0</v>
      </c>
      <c r="R202" t="s">
        <v>34</v>
      </c>
      <c r="S202" t="s">
        <v>35</v>
      </c>
    </row>
    <row r="203" spans="1:19" x14ac:dyDescent="0.25">
      <c r="A203" t="s">
        <v>313</v>
      </c>
      <c r="B203" t="s">
        <v>314</v>
      </c>
      <c r="C203" t="s">
        <v>142</v>
      </c>
      <c r="D203" t="s">
        <v>143</v>
      </c>
      <c r="E203" t="s">
        <v>22</v>
      </c>
      <c r="F203" t="s">
        <v>23</v>
      </c>
      <c r="G203" t="s">
        <v>371</v>
      </c>
      <c r="H203" t="s">
        <v>372</v>
      </c>
      <c r="I203" s="3">
        <f>DATEVALUE("2024/04/19 00:00:00")</f>
        <v>45401</v>
      </c>
      <c r="J203" s="3">
        <f>DATEVALUE("2024/06/11 00:00:00")</f>
        <v>45454</v>
      </c>
      <c r="K203" s="3">
        <f>DATEVALUE("2024/06/11 00:00:00")</f>
        <v>45454</v>
      </c>
      <c r="L203" s="4">
        <v>620</v>
      </c>
      <c r="M203" s="4">
        <v>0</v>
      </c>
      <c r="N203" t="s">
        <v>26</v>
      </c>
      <c r="O203" s="4">
        <v>296</v>
      </c>
      <c r="P203" s="4">
        <v>298.39999999999998</v>
      </c>
      <c r="Q203" s="4">
        <v>0</v>
      </c>
      <c r="R203" t="s">
        <v>34</v>
      </c>
      <c r="S203" t="s">
        <v>35</v>
      </c>
    </row>
    <row r="204" spans="1:19" x14ac:dyDescent="0.25">
      <c r="A204" t="s">
        <v>313</v>
      </c>
      <c r="B204" t="s">
        <v>314</v>
      </c>
      <c r="C204" t="s">
        <v>142</v>
      </c>
      <c r="D204" t="s">
        <v>143</v>
      </c>
      <c r="E204" t="s">
        <v>22</v>
      </c>
      <c r="F204" t="s">
        <v>23</v>
      </c>
      <c r="G204" t="s">
        <v>371</v>
      </c>
      <c r="H204" t="s">
        <v>372</v>
      </c>
      <c r="I204" s="3">
        <f>DATEVALUE("2024/04/19 00:00:00")</f>
        <v>45401</v>
      </c>
      <c r="J204" s="3">
        <f>DATEVALUE("2024/06/11 00:00:00")</f>
        <v>45454</v>
      </c>
      <c r="K204" s="3">
        <f>DATEVALUE("2024/06/18 00:00:00")</f>
        <v>45461</v>
      </c>
      <c r="L204" s="4">
        <v>2768</v>
      </c>
      <c r="M204" s="4">
        <v>0</v>
      </c>
      <c r="N204" t="s">
        <v>26</v>
      </c>
      <c r="O204" s="4">
        <v>1379.2</v>
      </c>
      <c r="P204" s="4">
        <v>1383.87</v>
      </c>
      <c r="Q204" s="4">
        <v>0</v>
      </c>
      <c r="R204" t="s">
        <v>34</v>
      </c>
      <c r="S204" t="s">
        <v>35</v>
      </c>
    </row>
    <row r="205" spans="1:19" x14ac:dyDescent="0.25">
      <c r="A205" t="s">
        <v>313</v>
      </c>
      <c r="B205" t="s">
        <v>314</v>
      </c>
      <c r="C205" t="s">
        <v>142</v>
      </c>
      <c r="D205" t="s">
        <v>143</v>
      </c>
      <c r="E205" t="s">
        <v>22</v>
      </c>
      <c r="F205" t="s">
        <v>23</v>
      </c>
      <c r="G205" t="s">
        <v>373</v>
      </c>
      <c r="H205" t="s">
        <v>374</v>
      </c>
      <c r="I205" s="3">
        <f>DATEVALUE("2024/06/27 00:00:00")</f>
        <v>45470</v>
      </c>
      <c r="J205" s="3">
        <f>DATEVALUE("2024/10/16 00:00:00")</f>
        <v>45581</v>
      </c>
      <c r="K205" s="3">
        <f>DATEVALUE("2024/10/23 00:00:00")</f>
        <v>45588</v>
      </c>
      <c r="L205" s="4">
        <v>11438</v>
      </c>
      <c r="M205" s="4">
        <v>11438</v>
      </c>
      <c r="N205" t="s">
        <v>26</v>
      </c>
      <c r="O205" s="4">
        <v>4786</v>
      </c>
      <c r="P205" s="4">
        <v>0</v>
      </c>
      <c r="Q205" s="4">
        <v>4786</v>
      </c>
      <c r="R205" t="s">
        <v>27</v>
      </c>
      <c r="S205" t="s">
        <v>1</v>
      </c>
    </row>
    <row r="206" spans="1:19" x14ac:dyDescent="0.25">
      <c r="A206" t="s">
        <v>313</v>
      </c>
      <c r="B206" t="s">
        <v>314</v>
      </c>
      <c r="C206" t="s">
        <v>142</v>
      </c>
      <c r="D206" t="s">
        <v>143</v>
      </c>
      <c r="E206" t="s">
        <v>22</v>
      </c>
      <c r="F206" t="s">
        <v>23</v>
      </c>
      <c r="G206" t="s">
        <v>373</v>
      </c>
      <c r="H206" t="s">
        <v>374</v>
      </c>
      <c r="I206" s="3">
        <f>DATEVALUE("2024/06/27 00:00:00")</f>
        <v>45470</v>
      </c>
      <c r="J206" s="3">
        <f>DATEVALUE("2024/10/16 00:00:00")</f>
        <v>45581</v>
      </c>
      <c r="K206" s="3">
        <f>DATEVALUE("2024/10/23 00:00:00")</f>
        <v>45588</v>
      </c>
      <c r="L206" s="4">
        <v>11253</v>
      </c>
      <c r="M206" s="4">
        <v>0</v>
      </c>
      <c r="N206" t="s">
        <v>26</v>
      </c>
      <c r="O206" s="4">
        <v>4637</v>
      </c>
      <c r="P206" s="4">
        <v>4924.66</v>
      </c>
      <c r="Q206" s="4">
        <v>0</v>
      </c>
      <c r="R206" t="s">
        <v>34</v>
      </c>
      <c r="S206" t="s">
        <v>35</v>
      </c>
    </row>
    <row r="207" spans="1:19" x14ac:dyDescent="0.25">
      <c r="A207" t="s">
        <v>313</v>
      </c>
      <c r="B207" t="s">
        <v>314</v>
      </c>
      <c r="C207" t="s">
        <v>142</v>
      </c>
      <c r="D207" t="s">
        <v>143</v>
      </c>
      <c r="E207" t="s">
        <v>22</v>
      </c>
      <c r="F207" t="s">
        <v>23</v>
      </c>
      <c r="G207" t="s">
        <v>375</v>
      </c>
      <c r="H207" t="s">
        <v>376</v>
      </c>
      <c r="I207" s="3">
        <f>DATEVALUE("2024/07/17 00:00:00")</f>
        <v>45490</v>
      </c>
      <c r="J207" s="3">
        <f>DATEVALUE("2024/11/08 00:00:00")</f>
        <v>45604</v>
      </c>
      <c r="K207" s="3">
        <f>DATEVALUE("2024/11/20 00:00:00")</f>
        <v>45616</v>
      </c>
      <c r="L207" s="4">
        <v>12761.7</v>
      </c>
      <c r="M207" s="4">
        <v>12761.7</v>
      </c>
      <c r="N207" t="s">
        <v>26</v>
      </c>
      <c r="O207" s="4">
        <v>6935.8</v>
      </c>
      <c r="P207" s="4">
        <v>0</v>
      </c>
      <c r="Q207" s="4">
        <v>6935.8</v>
      </c>
      <c r="R207" t="s">
        <v>27</v>
      </c>
      <c r="S207" t="s">
        <v>1</v>
      </c>
    </row>
    <row r="208" spans="1:19" x14ac:dyDescent="0.25">
      <c r="A208" t="s">
        <v>313</v>
      </c>
      <c r="B208" t="s">
        <v>314</v>
      </c>
      <c r="C208" t="s">
        <v>142</v>
      </c>
      <c r="D208" t="s">
        <v>143</v>
      </c>
      <c r="E208" t="s">
        <v>22</v>
      </c>
      <c r="F208" t="s">
        <v>23</v>
      </c>
      <c r="G208" t="s">
        <v>375</v>
      </c>
      <c r="H208" t="s">
        <v>376</v>
      </c>
      <c r="I208" s="3">
        <f>DATEVALUE("2024/07/17 00:00:00")</f>
        <v>45490</v>
      </c>
      <c r="J208" s="3">
        <f>DATEVALUE("2024/11/08 00:00:00")</f>
        <v>45604</v>
      </c>
      <c r="K208" s="3">
        <f>DATEVALUE("2024/11/20 00:00:00")</f>
        <v>45616</v>
      </c>
      <c r="L208" s="4">
        <v>15357.35</v>
      </c>
      <c r="M208" s="4">
        <v>0</v>
      </c>
      <c r="N208" t="s">
        <v>26</v>
      </c>
      <c r="O208" s="4">
        <v>8716.7999999999993</v>
      </c>
      <c r="P208" s="4">
        <v>9004.93</v>
      </c>
      <c r="Q208" s="4">
        <v>0</v>
      </c>
      <c r="R208" t="s">
        <v>34</v>
      </c>
      <c r="S208" t="s">
        <v>35</v>
      </c>
    </row>
    <row r="209" spans="1:19" x14ac:dyDescent="0.25">
      <c r="A209" t="s">
        <v>313</v>
      </c>
      <c r="B209" t="s">
        <v>314</v>
      </c>
      <c r="C209" t="s">
        <v>114</v>
      </c>
      <c r="D209" t="s">
        <v>115</v>
      </c>
      <c r="E209" t="s">
        <v>22</v>
      </c>
      <c r="F209" t="s">
        <v>23</v>
      </c>
      <c r="G209" t="s">
        <v>377</v>
      </c>
      <c r="H209" t="s">
        <v>378</v>
      </c>
      <c r="I209" s="3">
        <f>DATEVALUE("2024/01/03 00:00:00")</f>
        <v>45294</v>
      </c>
      <c r="J209" s="3">
        <f>DATEVALUE("2024/04/23 00:00:00")</f>
        <v>45405</v>
      </c>
      <c r="K209" s="3">
        <f>DATEVALUE("2024/04/30 00:00:00")</f>
        <v>45412</v>
      </c>
      <c r="L209" s="4">
        <v>40051.68</v>
      </c>
      <c r="M209" s="4">
        <v>0</v>
      </c>
      <c r="N209" t="s">
        <v>26</v>
      </c>
      <c r="O209" s="4">
        <v>19083.36</v>
      </c>
      <c r="P209" s="4">
        <v>16958.63</v>
      </c>
      <c r="Q209" s="4">
        <v>0</v>
      </c>
      <c r="R209" t="s">
        <v>34</v>
      </c>
      <c r="S209" t="s">
        <v>35</v>
      </c>
    </row>
    <row r="210" spans="1:19" x14ac:dyDescent="0.25">
      <c r="A210" t="s">
        <v>313</v>
      </c>
      <c r="B210" t="s">
        <v>314</v>
      </c>
      <c r="C210" t="s">
        <v>114</v>
      </c>
      <c r="D210" t="s">
        <v>115</v>
      </c>
      <c r="E210" t="s">
        <v>22</v>
      </c>
      <c r="F210" t="s">
        <v>23</v>
      </c>
      <c r="G210" t="s">
        <v>379</v>
      </c>
      <c r="H210" t="s">
        <v>380</v>
      </c>
      <c r="I210" s="3">
        <f>DATEVALUE("2024/02/16 00:00:00")</f>
        <v>45338</v>
      </c>
      <c r="J210" s="3">
        <f>DATEVALUE("2024/06/08 00:00:00")</f>
        <v>45451</v>
      </c>
      <c r="K210" s="3">
        <f>DATEVALUE("2024/06/15 00:00:00")</f>
        <v>45458</v>
      </c>
      <c r="L210" s="4">
        <v>47429.82</v>
      </c>
      <c r="M210" s="4">
        <v>0</v>
      </c>
      <c r="N210" t="s">
        <v>26</v>
      </c>
      <c r="O210" s="4">
        <v>22226.799999999999</v>
      </c>
      <c r="P210" s="4">
        <v>21766.16</v>
      </c>
      <c r="Q210" s="4">
        <v>0</v>
      </c>
      <c r="R210" t="s">
        <v>34</v>
      </c>
      <c r="S210" t="s">
        <v>35</v>
      </c>
    </row>
    <row r="211" spans="1:19" x14ac:dyDescent="0.25">
      <c r="A211" t="s">
        <v>313</v>
      </c>
      <c r="B211" t="s">
        <v>314</v>
      </c>
      <c r="C211" t="s">
        <v>114</v>
      </c>
      <c r="D211" t="s">
        <v>115</v>
      </c>
      <c r="E211" t="s">
        <v>22</v>
      </c>
      <c r="F211" t="s">
        <v>23</v>
      </c>
      <c r="G211" t="s">
        <v>381</v>
      </c>
      <c r="H211" t="s">
        <v>382</v>
      </c>
      <c r="I211" s="3">
        <f>DATEVALUE("2024/07/29 00:00:00")</f>
        <v>45502</v>
      </c>
      <c r="J211" s="3">
        <f>DATEVALUE("2024/10/23 00:00:00")</f>
        <v>45588</v>
      </c>
      <c r="K211" s="3">
        <f>DATEVALUE("2024/10/30 00:00:00")</f>
        <v>45595</v>
      </c>
      <c r="L211" s="4">
        <v>28569.599999999999</v>
      </c>
      <c r="M211" s="4">
        <v>0</v>
      </c>
      <c r="N211" t="s">
        <v>26</v>
      </c>
      <c r="O211" s="4">
        <v>18086.400000000001</v>
      </c>
      <c r="P211" s="4">
        <v>16564.8</v>
      </c>
      <c r="Q211" s="4">
        <v>0</v>
      </c>
      <c r="R211" t="s">
        <v>34</v>
      </c>
      <c r="S211" t="s">
        <v>35</v>
      </c>
    </row>
    <row r="212" spans="1:19" x14ac:dyDescent="0.25">
      <c r="A212" t="s">
        <v>313</v>
      </c>
      <c r="B212" t="s">
        <v>314</v>
      </c>
      <c r="C212" t="s">
        <v>114</v>
      </c>
      <c r="D212" t="s">
        <v>115</v>
      </c>
      <c r="E212" t="s">
        <v>22</v>
      </c>
      <c r="F212" t="s">
        <v>23</v>
      </c>
      <c r="G212" t="s">
        <v>383</v>
      </c>
      <c r="H212" t="s">
        <v>384</v>
      </c>
      <c r="I212" s="3">
        <f>DATEVALUE("2024/08/26 00:00:00")</f>
        <v>45530</v>
      </c>
      <c r="J212" s="3">
        <f>DATEVALUE("2024/11/22 00:00:00")</f>
        <v>45618</v>
      </c>
      <c r="K212" s="3">
        <f>DATEVALUE("2024/11/29 00:00:00")</f>
        <v>45625</v>
      </c>
      <c r="L212" s="4">
        <v>30990.6</v>
      </c>
      <c r="M212" s="4">
        <v>30990.6</v>
      </c>
      <c r="N212" t="s">
        <v>26</v>
      </c>
      <c r="O212" s="4">
        <v>16358.64</v>
      </c>
      <c r="P212" s="4">
        <v>0</v>
      </c>
      <c r="Q212" s="4">
        <v>16358.64</v>
      </c>
      <c r="R212" t="s">
        <v>27</v>
      </c>
      <c r="S212" t="s">
        <v>1</v>
      </c>
    </row>
    <row r="213" spans="1:19" x14ac:dyDescent="0.25">
      <c r="A213" t="s">
        <v>313</v>
      </c>
      <c r="B213" t="s">
        <v>314</v>
      </c>
      <c r="C213" t="s">
        <v>36</v>
      </c>
      <c r="D213" t="s">
        <v>37</v>
      </c>
      <c r="E213" t="s">
        <v>22</v>
      </c>
      <c r="F213" t="s">
        <v>23</v>
      </c>
      <c r="G213" t="s">
        <v>385</v>
      </c>
      <c r="H213" t="s">
        <v>386</v>
      </c>
      <c r="I213" s="3">
        <f>DATEVALUE("2023/11/13 00:00:00")</f>
        <v>45243</v>
      </c>
      <c r="J213" s="3">
        <f>DATEVALUE("2024/02/13 00:00:00")</f>
        <v>45335</v>
      </c>
      <c r="K213" s="3">
        <f>DATEVALUE("2024/02/20 00:00:00")</f>
        <v>45342</v>
      </c>
      <c r="L213" s="4">
        <v>52469.04</v>
      </c>
      <c r="M213" s="4">
        <v>0</v>
      </c>
      <c r="N213" t="s">
        <v>26</v>
      </c>
      <c r="O213" s="4">
        <v>28524.720000000001</v>
      </c>
      <c r="P213" s="4">
        <v>26278.02</v>
      </c>
      <c r="Q213" s="4">
        <v>0</v>
      </c>
      <c r="R213" t="s">
        <v>34</v>
      </c>
      <c r="S213" t="s">
        <v>35</v>
      </c>
    </row>
    <row r="214" spans="1:19" x14ac:dyDescent="0.25">
      <c r="A214" t="s">
        <v>313</v>
      </c>
      <c r="B214" t="s">
        <v>314</v>
      </c>
      <c r="C214" t="s">
        <v>36</v>
      </c>
      <c r="D214" t="s">
        <v>37</v>
      </c>
      <c r="E214" t="s">
        <v>22</v>
      </c>
      <c r="F214" t="s">
        <v>23</v>
      </c>
      <c r="G214" t="s">
        <v>387</v>
      </c>
      <c r="H214" t="s">
        <v>388</v>
      </c>
      <c r="I214" s="3">
        <f>DATEVALUE("2023/12/22 00:00:00")</f>
        <v>45282</v>
      </c>
      <c r="J214" s="3">
        <f>DATEVALUE("2024/03/13 00:00:00")</f>
        <v>45364</v>
      </c>
      <c r="K214" s="3">
        <f>DATEVALUE("2024/03/20 00:00:00")</f>
        <v>45371</v>
      </c>
      <c r="L214" s="4">
        <v>45078.48</v>
      </c>
      <c r="M214" s="4">
        <v>0</v>
      </c>
      <c r="N214" t="s">
        <v>26</v>
      </c>
      <c r="O214" s="4">
        <v>23606.880000000001</v>
      </c>
      <c r="P214" s="4">
        <v>24030.31</v>
      </c>
      <c r="Q214" s="4">
        <v>0</v>
      </c>
      <c r="R214" t="s">
        <v>34</v>
      </c>
      <c r="S214" t="s">
        <v>35</v>
      </c>
    </row>
    <row r="215" spans="1:19" x14ac:dyDescent="0.25">
      <c r="A215" t="s">
        <v>313</v>
      </c>
      <c r="B215" t="s">
        <v>314</v>
      </c>
      <c r="C215" t="s">
        <v>36</v>
      </c>
      <c r="D215" t="s">
        <v>37</v>
      </c>
      <c r="E215" t="s">
        <v>22</v>
      </c>
      <c r="F215" t="s">
        <v>23</v>
      </c>
      <c r="G215" t="s">
        <v>389</v>
      </c>
      <c r="H215" t="s">
        <v>390</v>
      </c>
      <c r="I215" s="3">
        <f>DATEVALUE("2024/01/29 00:00:00")</f>
        <v>45320</v>
      </c>
      <c r="J215" s="3">
        <f>DATEVALUE("2024/06/21 00:00:00")</f>
        <v>45464</v>
      </c>
      <c r="K215" s="3">
        <f>DATEVALUE("2024/05/20 00:00:00")</f>
        <v>45432</v>
      </c>
      <c r="L215" s="4">
        <v>4145.28</v>
      </c>
      <c r="M215" s="4">
        <v>0</v>
      </c>
      <c r="N215" t="s">
        <v>26</v>
      </c>
      <c r="O215" s="4">
        <v>1693.44</v>
      </c>
      <c r="P215" s="4">
        <v>1591</v>
      </c>
      <c r="Q215" s="4">
        <v>0</v>
      </c>
      <c r="R215" t="s">
        <v>34</v>
      </c>
      <c r="S215" t="s">
        <v>35</v>
      </c>
    </row>
    <row r="216" spans="1:19" x14ac:dyDescent="0.25">
      <c r="A216" t="s">
        <v>313</v>
      </c>
      <c r="B216" t="s">
        <v>314</v>
      </c>
      <c r="C216" t="s">
        <v>36</v>
      </c>
      <c r="D216" t="s">
        <v>37</v>
      </c>
      <c r="E216" t="s">
        <v>22</v>
      </c>
      <c r="F216" t="s">
        <v>23</v>
      </c>
      <c r="G216" t="s">
        <v>389</v>
      </c>
      <c r="H216" t="s">
        <v>390</v>
      </c>
      <c r="I216" s="3">
        <f>DATEVALUE("2024/01/29 00:00:00")</f>
        <v>45320</v>
      </c>
      <c r="J216" s="3">
        <f>DATEVALUE("2024/07/05 00:00:00")</f>
        <v>45478</v>
      </c>
      <c r="K216" s="3">
        <f>DATEVALUE("2024/05/20 00:00:00")</f>
        <v>45432</v>
      </c>
      <c r="L216" s="4">
        <v>3441.6</v>
      </c>
      <c r="M216" s="4">
        <v>0</v>
      </c>
      <c r="N216" t="s">
        <v>26</v>
      </c>
      <c r="O216" s="4">
        <v>1056</v>
      </c>
      <c r="P216" s="4">
        <v>1015.41</v>
      </c>
      <c r="Q216" s="4">
        <v>0</v>
      </c>
      <c r="R216" t="s">
        <v>34</v>
      </c>
      <c r="S216" t="s">
        <v>35</v>
      </c>
    </row>
    <row r="217" spans="1:19" x14ac:dyDescent="0.25">
      <c r="A217" t="s">
        <v>313</v>
      </c>
      <c r="B217" t="s">
        <v>314</v>
      </c>
      <c r="C217" t="s">
        <v>36</v>
      </c>
      <c r="D217" t="s">
        <v>37</v>
      </c>
      <c r="E217" t="s">
        <v>22</v>
      </c>
      <c r="F217" t="s">
        <v>23</v>
      </c>
      <c r="G217" t="s">
        <v>389</v>
      </c>
      <c r="H217" t="s">
        <v>390</v>
      </c>
      <c r="I217" s="3">
        <f>DATEVALUE("2024/01/29 00:00:00")</f>
        <v>45320</v>
      </c>
      <c r="J217" s="3">
        <f>DATEVALUE("2024/06/19 00:00:00")</f>
        <v>45462</v>
      </c>
      <c r="K217" s="3">
        <f>DATEVALUE("2024/05/20 00:00:00")</f>
        <v>45432</v>
      </c>
      <c r="L217" s="4">
        <v>2602.08</v>
      </c>
      <c r="M217" s="4">
        <v>0</v>
      </c>
      <c r="N217" t="s">
        <v>26</v>
      </c>
      <c r="O217" s="4">
        <v>1166.4000000000001</v>
      </c>
      <c r="P217" s="4">
        <v>1011.7</v>
      </c>
      <c r="Q217" s="4">
        <v>0</v>
      </c>
      <c r="R217" t="s">
        <v>34</v>
      </c>
      <c r="S217" t="s">
        <v>35</v>
      </c>
    </row>
    <row r="218" spans="1:19" x14ac:dyDescent="0.25">
      <c r="A218" t="s">
        <v>313</v>
      </c>
      <c r="B218" t="s">
        <v>314</v>
      </c>
      <c r="C218" t="s">
        <v>36</v>
      </c>
      <c r="D218" t="s">
        <v>37</v>
      </c>
      <c r="E218" t="s">
        <v>22</v>
      </c>
      <c r="F218" t="s">
        <v>23</v>
      </c>
      <c r="G218" t="s">
        <v>389</v>
      </c>
      <c r="H218" t="s">
        <v>390</v>
      </c>
      <c r="I218" s="3">
        <f>DATEVALUE("2024/01/29 00:00:00")</f>
        <v>45320</v>
      </c>
      <c r="J218" s="3">
        <f>DATEVALUE("2024/05/13 00:00:00")</f>
        <v>45425</v>
      </c>
      <c r="K218" s="3">
        <f>DATEVALUE("2024/05/20 00:00:00")</f>
        <v>45432</v>
      </c>
      <c r="L218" s="4">
        <v>42172.32</v>
      </c>
      <c r="M218" s="4">
        <v>0</v>
      </c>
      <c r="N218" t="s">
        <v>26</v>
      </c>
      <c r="O218" s="4">
        <v>21384.959999999999</v>
      </c>
      <c r="P218" s="4">
        <v>19927.97</v>
      </c>
      <c r="Q218" s="4">
        <v>0</v>
      </c>
      <c r="R218" t="s">
        <v>34</v>
      </c>
      <c r="S218" t="s">
        <v>35</v>
      </c>
    </row>
    <row r="219" spans="1:19" x14ac:dyDescent="0.25">
      <c r="A219" t="s">
        <v>313</v>
      </c>
      <c r="B219" t="s">
        <v>314</v>
      </c>
      <c r="C219" t="s">
        <v>36</v>
      </c>
      <c r="D219" t="s">
        <v>37</v>
      </c>
      <c r="E219" t="s">
        <v>22</v>
      </c>
      <c r="F219" t="s">
        <v>23</v>
      </c>
      <c r="G219" t="s">
        <v>391</v>
      </c>
      <c r="H219" t="s">
        <v>392</v>
      </c>
      <c r="I219" s="3">
        <f>DATEVALUE("2024/04/23 00:00:00")</f>
        <v>45405</v>
      </c>
      <c r="J219" s="3">
        <f>DATEVALUE("2024/07/19 00:00:00")</f>
        <v>45492</v>
      </c>
      <c r="K219" s="3">
        <f>DATEVALUE("2024/07/19 00:00:00")</f>
        <v>45492</v>
      </c>
      <c r="L219" s="4">
        <v>194976.24</v>
      </c>
      <c r="M219" s="4">
        <v>0</v>
      </c>
      <c r="N219" t="s">
        <v>26</v>
      </c>
      <c r="O219" s="4">
        <v>95776.56</v>
      </c>
      <c r="P219" s="4">
        <v>67061.59</v>
      </c>
      <c r="Q219" s="4">
        <v>0</v>
      </c>
      <c r="R219" t="s">
        <v>34</v>
      </c>
      <c r="S219" t="s">
        <v>35</v>
      </c>
    </row>
    <row r="220" spans="1:19" x14ac:dyDescent="0.25">
      <c r="A220" t="s">
        <v>313</v>
      </c>
      <c r="B220" t="s">
        <v>314</v>
      </c>
      <c r="C220" t="s">
        <v>36</v>
      </c>
      <c r="D220" t="s">
        <v>37</v>
      </c>
      <c r="E220" t="s">
        <v>22</v>
      </c>
      <c r="F220" t="s">
        <v>23</v>
      </c>
      <c r="G220" t="s">
        <v>393</v>
      </c>
      <c r="H220" t="s">
        <v>394</v>
      </c>
      <c r="I220" s="3">
        <f>DATEVALUE("2024/05/17 00:00:00")</f>
        <v>45429</v>
      </c>
      <c r="J220" s="3">
        <f>DATEVALUE("2024/08/30 00:00:00")</f>
        <v>45534</v>
      </c>
      <c r="K220" s="3">
        <f>DATEVALUE("2024/09/06 00:00:00")</f>
        <v>45541</v>
      </c>
      <c r="L220" s="4">
        <v>8876.16</v>
      </c>
      <c r="M220" s="4">
        <v>0</v>
      </c>
      <c r="N220" t="s">
        <v>26</v>
      </c>
      <c r="O220" s="4">
        <v>4411.2</v>
      </c>
      <c r="P220" s="4">
        <v>4397.78</v>
      </c>
      <c r="Q220" s="4">
        <v>13.42</v>
      </c>
      <c r="R220" t="s">
        <v>27</v>
      </c>
      <c r="S220" t="s">
        <v>35</v>
      </c>
    </row>
    <row r="221" spans="1:19" x14ac:dyDescent="0.25">
      <c r="A221" t="s">
        <v>313</v>
      </c>
      <c r="B221" t="s">
        <v>314</v>
      </c>
      <c r="C221" t="s">
        <v>36</v>
      </c>
      <c r="D221" t="s">
        <v>37</v>
      </c>
      <c r="E221" t="s">
        <v>22</v>
      </c>
      <c r="F221" t="s">
        <v>23</v>
      </c>
      <c r="G221" t="s">
        <v>393</v>
      </c>
      <c r="H221" t="s">
        <v>394</v>
      </c>
      <c r="I221" s="3">
        <f>DATEVALUE("2024/05/17 00:00:00")</f>
        <v>45429</v>
      </c>
      <c r="J221" s="3">
        <f>DATEVALUE("2024/08/30 00:00:00")</f>
        <v>45534</v>
      </c>
      <c r="K221" s="3">
        <f>DATEVALUE("2024/09/06 00:00:00")</f>
        <v>45541</v>
      </c>
      <c r="L221" s="4">
        <v>22766.880000000001</v>
      </c>
      <c r="M221" s="4">
        <v>0</v>
      </c>
      <c r="N221" t="s">
        <v>26</v>
      </c>
      <c r="O221" s="4">
        <v>10534.08</v>
      </c>
      <c r="P221" s="4">
        <v>9748.67</v>
      </c>
      <c r="Q221" s="4">
        <v>0</v>
      </c>
      <c r="R221" t="s">
        <v>34</v>
      </c>
      <c r="S221" t="s">
        <v>35</v>
      </c>
    </row>
    <row r="222" spans="1:19" x14ac:dyDescent="0.25">
      <c r="A222" t="s">
        <v>313</v>
      </c>
      <c r="B222" t="s">
        <v>314</v>
      </c>
      <c r="C222" t="s">
        <v>36</v>
      </c>
      <c r="D222" t="s">
        <v>37</v>
      </c>
      <c r="E222" t="s">
        <v>22</v>
      </c>
      <c r="F222" t="s">
        <v>23</v>
      </c>
      <c r="G222" t="s">
        <v>393</v>
      </c>
      <c r="H222" t="s">
        <v>394</v>
      </c>
      <c r="I222" s="3">
        <f>DATEVALUE("2024/05/17 00:00:00")</f>
        <v>45429</v>
      </c>
      <c r="J222" s="3">
        <f>DATEVALUE("2024/08/16 00:00:00")</f>
        <v>45520</v>
      </c>
      <c r="K222" s="3">
        <f>DATEVALUE("2024/09/06 00:00:00")</f>
        <v>45541</v>
      </c>
      <c r="L222" s="4">
        <v>86501.28</v>
      </c>
      <c r="M222" s="4">
        <v>0</v>
      </c>
      <c r="N222" t="s">
        <v>26</v>
      </c>
      <c r="O222" s="4">
        <v>46093.919999999998</v>
      </c>
      <c r="P222" s="4">
        <v>46974.1</v>
      </c>
      <c r="Q222" s="4">
        <v>0</v>
      </c>
      <c r="R222" t="s">
        <v>34</v>
      </c>
      <c r="S222" t="s">
        <v>35</v>
      </c>
    </row>
    <row r="223" spans="1:19" x14ac:dyDescent="0.25">
      <c r="A223" t="s">
        <v>313</v>
      </c>
      <c r="B223" t="s">
        <v>314</v>
      </c>
      <c r="C223" t="s">
        <v>36</v>
      </c>
      <c r="D223" t="s">
        <v>37</v>
      </c>
      <c r="E223" t="s">
        <v>22</v>
      </c>
      <c r="F223" t="s">
        <v>23</v>
      </c>
      <c r="G223" t="s">
        <v>395</v>
      </c>
      <c r="H223" t="s">
        <v>396</v>
      </c>
      <c r="I223" s="3">
        <f>DATEVALUE("2024/08/16 00:00:00")</f>
        <v>45520</v>
      </c>
      <c r="J223" s="3">
        <f>DATEVALUE("2024/11/13 00:00:00")</f>
        <v>45609</v>
      </c>
      <c r="K223" s="3">
        <f>DATEVALUE("2024/11/20 00:00:00")</f>
        <v>45616</v>
      </c>
      <c r="L223" s="4">
        <v>12869.76</v>
      </c>
      <c r="M223" s="4">
        <v>12869.76</v>
      </c>
      <c r="N223" t="s">
        <v>26</v>
      </c>
      <c r="O223" s="4">
        <v>6092.16</v>
      </c>
      <c r="P223" s="4">
        <v>0</v>
      </c>
      <c r="Q223" s="4">
        <v>6092.16</v>
      </c>
      <c r="R223" t="s">
        <v>27</v>
      </c>
      <c r="S223" t="s">
        <v>1</v>
      </c>
    </row>
    <row r="224" spans="1:19" x14ac:dyDescent="0.25">
      <c r="A224" t="s">
        <v>313</v>
      </c>
      <c r="B224" t="s">
        <v>314</v>
      </c>
      <c r="C224" t="s">
        <v>40</v>
      </c>
      <c r="D224" t="s">
        <v>41</v>
      </c>
      <c r="E224" t="s">
        <v>22</v>
      </c>
      <c r="F224" t="s">
        <v>23</v>
      </c>
      <c r="G224" t="s">
        <v>397</v>
      </c>
      <c r="H224" t="s">
        <v>398</v>
      </c>
      <c r="I224" s="3">
        <f t="shared" ref="I224:I229" si="2">DATEVALUE("2023/12/19 00:00:00")</f>
        <v>45279</v>
      </c>
      <c r="J224" s="3">
        <f>DATEVALUE("2024/04/05 00:00:00")</f>
        <v>45387</v>
      </c>
      <c r="K224" s="3">
        <f>DATEVALUE("2024/04/12 00:00:00")</f>
        <v>45394</v>
      </c>
      <c r="L224" s="4">
        <v>6880.5</v>
      </c>
      <c r="M224" s="4">
        <v>0</v>
      </c>
      <c r="N224" t="s">
        <v>26</v>
      </c>
      <c r="O224" s="4">
        <v>1485</v>
      </c>
      <c r="P224" s="4">
        <v>1539.72</v>
      </c>
      <c r="Q224" s="4">
        <v>0</v>
      </c>
      <c r="R224" t="s">
        <v>34</v>
      </c>
      <c r="S224" t="s">
        <v>35</v>
      </c>
    </row>
    <row r="225" spans="1:19" x14ac:dyDescent="0.25">
      <c r="A225" t="s">
        <v>313</v>
      </c>
      <c r="B225" t="s">
        <v>314</v>
      </c>
      <c r="C225" t="s">
        <v>40</v>
      </c>
      <c r="D225" t="s">
        <v>41</v>
      </c>
      <c r="E225" t="s">
        <v>22</v>
      </c>
      <c r="F225" t="s">
        <v>23</v>
      </c>
      <c r="G225" t="s">
        <v>397</v>
      </c>
      <c r="H225" t="s">
        <v>398</v>
      </c>
      <c r="I225" s="3">
        <f t="shared" si="2"/>
        <v>45279</v>
      </c>
      <c r="J225" s="3">
        <f>DATEVALUE("2024/03/22 00:00:00")</f>
        <v>45373</v>
      </c>
      <c r="K225" s="3">
        <f>DATEVALUE("2024/03/29 00:00:00")</f>
        <v>45380</v>
      </c>
      <c r="L225" s="4">
        <v>6920.4</v>
      </c>
      <c r="M225" s="4">
        <v>0</v>
      </c>
      <c r="N225" t="s">
        <v>26</v>
      </c>
      <c r="O225" s="4">
        <v>3231.6</v>
      </c>
      <c r="P225" s="4">
        <v>2987.12</v>
      </c>
      <c r="Q225" s="4">
        <v>0</v>
      </c>
      <c r="R225" t="s">
        <v>34</v>
      </c>
      <c r="S225" t="s">
        <v>35</v>
      </c>
    </row>
    <row r="226" spans="1:19" x14ac:dyDescent="0.25">
      <c r="A226" t="s">
        <v>313</v>
      </c>
      <c r="B226" t="s">
        <v>314</v>
      </c>
      <c r="C226" t="s">
        <v>40</v>
      </c>
      <c r="D226" t="s">
        <v>41</v>
      </c>
      <c r="E226" t="s">
        <v>22</v>
      </c>
      <c r="F226" t="s">
        <v>23</v>
      </c>
      <c r="G226" t="s">
        <v>397</v>
      </c>
      <c r="H226" t="s">
        <v>398</v>
      </c>
      <c r="I226" s="3">
        <f t="shared" si="2"/>
        <v>45279</v>
      </c>
      <c r="J226" s="3">
        <f>DATEVALUE("2024/02/16 00:00:00")</f>
        <v>45338</v>
      </c>
      <c r="K226" s="3">
        <f>DATEVALUE("2024/02/23 00:00:00")</f>
        <v>45345</v>
      </c>
      <c r="L226" s="4">
        <v>3360</v>
      </c>
      <c r="M226" s="4">
        <v>0</v>
      </c>
      <c r="N226" t="s">
        <v>26</v>
      </c>
      <c r="O226" s="4">
        <v>915</v>
      </c>
      <c r="P226" s="4">
        <v>910.2</v>
      </c>
      <c r="Q226" s="4">
        <v>0</v>
      </c>
      <c r="R226" t="s">
        <v>34</v>
      </c>
      <c r="S226" t="s">
        <v>35</v>
      </c>
    </row>
    <row r="227" spans="1:19" x14ac:dyDescent="0.25">
      <c r="A227" t="s">
        <v>313</v>
      </c>
      <c r="B227" t="s">
        <v>314</v>
      </c>
      <c r="C227" t="s">
        <v>40</v>
      </c>
      <c r="D227" t="s">
        <v>41</v>
      </c>
      <c r="E227" t="s">
        <v>22</v>
      </c>
      <c r="F227" t="s">
        <v>23</v>
      </c>
      <c r="G227" t="s">
        <v>397</v>
      </c>
      <c r="H227" t="s">
        <v>398</v>
      </c>
      <c r="I227" s="3">
        <f t="shared" si="2"/>
        <v>45279</v>
      </c>
      <c r="J227" s="3">
        <f>DATEVALUE("2024/05/17 00:00:00")</f>
        <v>45429</v>
      </c>
      <c r="K227" s="3">
        <f>DATEVALUE("2024/05/24 00:00:00")</f>
        <v>45436</v>
      </c>
      <c r="L227" s="4">
        <v>120426</v>
      </c>
      <c r="M227" s="4">
        <v>0</v>
      </c>
      <c r="N227" t="s">
        <v>26</v>
      </c>
      <c r="O227" s="4">
        <v>39757</v>
      </c>
      <c r="P227" s="4">
        <v>38883.74</v>
      </c>
      <c r="Q227" s="4">
        <v>0</v>
      </c>
      <c r="R227" t="s">
        <v>34</v>
      </c>
      <c r="S227" t="s">
        <v>35</v>
      </c>
    </row>
    <row r="228" spans="1:19" x14ac:dyDescent="0.25">
      <c r="A228" t="s">
        <v>313</v>
      </c>
      <c r="B228" t="s">
        <v>314</v>
      </c>
      <c r="C228" t="s">
        <v>40</v>
      </c>
      <c r="D228" t="s">
        <v>41</v>
      </c>
      <c r="E228" t="s">
        <v>22</v>
      </c>
      <c r="F228" t="s">
        <v>23</v>
      </c>
      <c r="G228" t="s">
        <v>397</v>
      </c>
      <c r="H228" t="s">
        <v>398</v>
      </c>
      <c r="I228" s="3">
        <f t="shared" si="2"/>
        <v>45279</v>
      </c>
      <c r="J228" s="3">
        <f>DATEVALUE("2024/03/08 00:00:00")</f>
        <v>45359</v>
      </c>
      <c r="K228" s="3">
        <f>DATEVALUE("2024/03/15 00:00:00")</f>
        <v>45366</v>
      </c>
      <c r="L228" s="4">
        <v>6880.5</v>
      </c>
      <c r="M228" s="4">
        <v>0</v>
      </c>
      <c r="N228" t="s">
        <v>26</v>
      </c>
      <c r="O228" s="4">
        <v>1485</v>
      </c>
      <c r="P228" s="4">
        <v>1425.6</v>
      </c>
      <c r="Q228" s="4">
        <v>0</v>
      </c>
      <c r="R228" t="s">
        <v>34</v>
      </c>
      <c r="S228" t="s">
        <v>35</v>
      </c>
    </row>
    <row r="229" spans="1:19" x14ac:dyDescent="0.25">
      <c r="A229" t="s">
        <v>313</v>
      </c>
      <c r="B229" t="s">
        <v>314</v>
      </c>
      <c r="C229" t="s">
        <v>40</v>
      </c>
      <c r="D229" t="s">
        <v>41</v>
      </c>
      <c r="E229" t="s">
        <v>22</v>
      </c>
      <c r="F229" t="s">
        <v>23</v>
      </c>
      <c r="G229" t="s">
        <v>397</v>
      </c>
      <c r="H229" t="s">
        <v>398</v>
      </c>
      <c r="I229" s="3">
        <f t="shared" si="2"/>
        <v>45279</v>
      </c>
      <c r="J229" s="3">
        <f>DATEVALUE("2024/04/19 00:00:00")</f>
        <v>45401</v>
      </c>
      <c r="K229" s="3">
        <f>DATEVALUE("2024/04/26 00:00:00")</f>
        <v>45408</v>
      </c>
      <c r="L229" s="4">
        <v>5203.2</v>
      </c>
      <c r="M229" s="4">
        <v>0</v>
      </c>
      <c r="N229" t="s">
        <v>26</v>
      </c>
      <c r="O229" s="4">
        <v>2760</v>
      </c>
      <c r="P229" s="4">
        <v>2678.4</v>
      </c>
      <c r="Q229" s="4">
        <v>0</v>
      </c>
      <c r="R229" t="s">
        <v>34</v>
      </c>
      <c r="S229" t="s">
        <v>35</v>
      </c>
    </row>
    <row r="230" spans="1:19" x14ac:dyDescent="0.25">
      <c r="A230" t="s">
        <v>313</v>
      </c>
      <c r="B230" t="s">
        <v>314</v>
      </c>
      <c r="C230" t="s">
        <v>40</v>
      </c>
      <c r="D230" t="s">
        <v>41</v>
      </c>
      <c r="E230" t="s">
        <v>22</v>
      </c>
      <c r="F230" t="s">
        <v>23</v>
      </c>
      <c r="G230" t="s">
        <v>399</v>
      </c>
      <c r="H230" t="s">
        <v>400</v>
      </c>
      <c r="I230" s="3">
        <f>DATEVALUE("2024/02/23 00:00:00")</f>
        <v>45345</v>
      </c>
      <c r="J230" s="3">
        <f>DATEVALUE("2024/05/21 00:00:00")</f>
        <v>45433</v>
      </c>
      <c r="K230" s="3">
        <f>DATEVALUE("2024/05/31 00:00:00")</f>
        <v>45443</v>
      </c>
      <c r="L230" s="4">
        <v>31671</v>
      </c>
      <c r="M230" s="4">
        <v>0</v>
      </c>
      <c r="N230" t="s">
        <v>26</v>
      </c>
      <c r="O230" s="4">
        <v>15390</v>
      </c>
      <c r="P230" s="4">
        <v>14799</v>
      </c>
      <c r="Q230" s="4">
        <v>0</v>
      </c>
      <c r="R230" t="s">
        <v>34</v>
      </c>
      <c r="S230" t="s">
        <v>35</v>
      </c>
    </row>
    <row r="231" spans="1:19" x14ac:dyDescent="0.25">
      <c r="A231" t="s">
        <v>313</v>
      </c>
      <c r="B231" t="s">
        <v>314</v>
      </c>
      <c r="C231" t="s">
        <v>40</v>
      </c>
      <c r="D231" t="s">
        <v>41</v>
      </c>
      <c r="E231" t="s">
        <v>22</v>
      </c>
      <c r="F231" t="s">
        <v>23</v>
      </c>
      <c r="G231" t="s">
        <v>401</v>
      </c>
      <c r="H231" t="s">
        <v>402</v>
      </c>
      <c r="I231" s="3">
        <f>DATEVALUE("2024/02/23 00:00:00")</f>
        <v>45345</v>
      </c>
      <c r="J231" s="3">
        <f>DATEVALUE("2024/04/30 00:00:00")</f>
        <v>45412</v>
      </c>
      <c r="K231" s="3">
        <f>DATEVALUE("2024/05/10 00:00:00")</f>
        <v>45422</v>
      </c>
      <c r="L231" s="4">
        <v>31671</v>
      </c>
      <c r="M231" s="4">
        <v>0</v>
      </c>
      <c r="N231" t="s">
        <v>26</v>
      </c>
      <c r="O231" s="4">
        <v>15390</v>
      </c>
      <c r="P231" s="4">
        <v>14861.48</v>
      </c>
      <c r="Q231" s="4">
        <v>0</v>
      </c>
      <c r="R231" t="s">
        <v>34</v>
      </c>
      <c r="S231" t="s">
        <v>35</v>
      </c>
    </row>
    <row r="232" spans="1:19" x14ac:dyDescent="0.25">
      <c r="A232" t="s">
        <v>313</v>
      </c>
      <c r="B232" t="s">
        <v>314</v>
      </c>
      <c r="C232" t="s">
        <v>40</v>
      </c>
      <c r="D232" t="s">
        <v>41</v>
      </c>
      <c r="E232" t="s">
        <v>22</v>
      </c>
      <c r="F232" t="s">
        <v>23</v>
      </c>
      <c r="G232" t="s">
        <v>403</v>
      </c>
      <c r="H232" t="s">
        <v>404</v>
      </c>
      <c r="I232" s="3">
        <f>DATEVALUE("2024/03/22 00:00:00")</f>
        <v>45373</v>
      </c>
      <c r="J232" s="3">
        <f>DATEVALUE("2024/11/29 00:00:00")</f>
        <v>45625</v>
      </c>
      <c r="K232" s="3">
        <f>DATEVALUE("2024/09/20 00:00:00")</f>
        <v>45555</v>
      </c>
      <c r="L232" s="4">
        <v>1717.2</v>
      </c>
      <c r="M232" s="4">
        <v>1717.2</v>
      </c>
      <c r="N232" t="s">
        <v>26</v>
      </c>
      <c r="O232" s="4">
        <v>459</v>
      </c>
      <c r="P232" s="4">
        <v>0</v>
      </c>
      <c r="Q232" s="4">
        <v>459</v>
      </c>
      <c r="R232" t="s">
        <v>27</v>
      </c>
      <c r="S232" t="s">
        <v>1</v>
      </c>
    </row>
    <row r="233" spans="1:19" x14ac:dyDescent="0.25">
      <c r="A233" t="s">
        <v>313</v>
      </c>
      <c r="B233" t="s">
        <v>314</v>
      </c>
      <c r="C233" t="s">
        <v>40</v>
      </c>
      <c r="D233" t="s">
        <v>41</v>
      </c>
      <c r="E233" t="s">
        <v>22</v>
      </c>
      <c r="F233" t="s">
        <v>23</v>
      </c>
      <c r="G233" t="s">
        <v>403</v>
      </c>
      <c r="H233" t="s">
        <v>404</v>
      </c>
      <c r="I233" s="3">
        <f>DATEVALUE("2024/03/22 00:00:00")</f>
        <v>45373</v>
      </c>
      <c r="J233" s="3">
        <f>DATEVALUE("2024/07/24 00:00:00")</f>
        <v>45497</v>
      </c>
      <c r="K233" s="3">
        <f>DATEVALUE("2024/08/02 00:00:00")</f>
        <v>45506</v>
      </c>
      <c r="L233" s="4">
        <v>1717.2</v>
      </c>
      <c r="M233" s="4">
        <v>0</v>
      </c>
      <c r="N233" t="s">
        <v>26</v>
      </c>
      <c r="O233" s="4">
        <v>459</v>
      </c>
      <c r="P233" s="4">
        <v>402.9</v>
      </c>
      <c r="Q233" s="4">
        <v>0</v>
      </c>
      <c r="R233" t="s">
        <v>34</v>
      </c>
      <c r="S233" t="s">
        <v>35</v>
      </c>
    </row>
    <row r="234" spans="1:19" x14ac:dyDescent="0.25">
      <c r="A234" t="s">
        <v>313</v>
      </c>
      <c r="B234" t="s">
        <v>314</v>
      </c>
      <c r="C234" t="s">
        <v>40</v>
      </c>
      <c r="D234" t="s">
        <v>41</v>
      </c>
      <c r="E234" t="s">
        <v>22</v>
      </c>
      <c r="F234" t="s">
        <v>23</v>
      </c>
      <c r="G234" t="s">
        <v>405</v>
      </c>
      <c r="H234" t="s">
        <v>406</v>
      </c>
      <c r="I234" s="3">
        <f>DATEVALUE("2024/05/03 00:00:00")</f>
        <v>45415</v>
      </c>
      <c r="J234" s="3">
        <f>DATEVALUE("2024/08/16 00:00:00")</f>
        <v>45520</v>
      </c>
      <c r="K234" s="3">
        <f>DATEVALUE("2024/08/23 00:00:00")</f>
        <v>45527</v>
      </c>
      <c r="L234" s="4">
        <v>31671</v>
      </c>
      <c r="M234" s="4">
        <v>0</v>
      </c>
      <c r="N234" t="s">
        <v>26</v>
      </c>
      <c r="O234" s="4">
        <v>15390</v>
      </c>
      <c r="P234" s="4">
        <v>14965.8</v>
      </c>
      <c r="Q234" s="4">
        <v>0</v>
      </c>
      <c r="R234" t="s">
        <v>34</v>
      </c>
      <c r="S234" t="s">
        <v>35</v>
      </c>
    </row>
    <row r="235" spans="1:19" x14ac:dyDescent="0.25">
      <c r="A235" t="s">
        <v>313</v>
      </c>
      <c r="B235" t="s">
        <v>314</v>
      </c>
      <c r="C235" t="s">
        <v>40</v>
      </c>
      <c r="D235" t="s">
        <v>41</v>
      </c>
      <c r="E235" t="s">
        <v>22</v>
      </c>
      <c r="F235" t="s">
        <v>23</v>
      </c>
      <c r="G235" t="s">
        <v>405</v>
      </c>
      <c r="H235" t="s">
        <v>406</v>
      </c>
      <c r="I235" s="3">
        <f>DATEVALUE("2024/05/03 00:00:00")</f>
        <v>45415</v>
      </c>
      <c r="J235" s="3">
        <f>DATEVALUE("2024/07/12 00:00:00")</f>
        <v>45485</v>
      </c>
      <c r="K235" s="3">
        <f>DATEVALUE("2024/07/19 00:00:00")</f>
        <v>45492</v>
      </c>
      <c r="L235" s="4">
        <v>31671</v>
      </c>
      <c r="M235" s="4">
        <v>0</v>
      </c>
      <c r="N235" t="s">
        <v>26</v>
      </c>
      <c r="O235" s="4">
        <v>15390</v>
      </c>
      <c r="P235" s="4">
        <v>15003.3</v>
      </c>
      <c r="Q235" s="4">
        <v>0</v>
      </c>
      <c r="R235" t="s">
        <v>34</v>
      </c>
      <c r="S235" t="s">
        <v>35</v>
      </c>
    </row>
    <row r="236" spans="1:19" x14ac:dyDescent="0.25">
      <c r="A236" t="s">
        <v>313</v>
      </c>
      <c r="B236" t="s">
        <v>314</v>
      </c>
      <c r="C236" t="s">
        <v>40</v>
      </c>
      <c r="D236" t="s">
        <v>41</v>
      </c>
      <c r="E236" t="s">
        <v>22</v>
      </c>
      <c r="F236" t="s">
        <v>23</v>
      </c>
      <c r="G236" t="s">
        <v>407</v>
      </c>
      <c r="H236" t="s">
        <v>408</v>
      </c>
      <c r="I236" s="3">
        <f>DATEVALUE("2024/05/13 00:00:00")</f>
        <v>45425</v>
      </c>
      <c r="J236" s="3">
        <f>DATEVALUE("2024/08/23 00:00:00")</f>
        <v>45527</v>
      </c>
      <c r="K236" s="3">
        <f>DATEVALUE("2024/08/30 00:00:00")</f>
        <v>45534</v>
      </c>
      <c r="L236" s="4">
        <v>31671</v>
      </c>
      <c r="M236" s="4">
        <v>0</v>
      </c>
      <c r="N236" t="s">
        <v>26</v>
      </c>
      <c r="O236" s="4">
        <v>15390</v>
      </c>
      <c r="P236" s="4">
        <v>14911.16</v>
      </c>
      <c r="Q236" s="4">
        <v>0</v>
      </c>
      <c r="R236" t="s">
        <v>34</v>
      </c>
      <c r="S236" t="s">
        <v>35</v>
      </c>
    </row>
    <row r="237" spans="1:19" x14ac:dyDescent="0.25">
      <c r="A237" t="s">
        <v>313</v>
      </c>
      <c r="B237" t="s">
        <v>314</v>
      </c>
      <c r="C237" t="s">
        <v>40</v>
      </c>
      <c r="D237" t="s">
        <v>41</v>
      </c>
      <c r="E237" t="s">
        <v>22</v>
      </c>
      <c r="F237" t="s">
        <v>23</v>
      </c>
      <c r="G237" t="s">
        <v>407</v>
      </c>
      <c r="H237" t="s">
        <v>408</v>
      </c>
      <c r="I237" s="3">
        <f>DATEVALUE("2024/05/13 00:00:00")</f>
        <v>45425</v>
      </c>
      <c r="J237" s="3">
        <f>DATEVALUE("2024/10/04 00:00:00")</f>
        <v>45569</v>
      </c>
      <c r="K237" s="3">
        <f>DATEVALUE("2024/10/11 00:00:00")</f>
        <v>45576</v>
      </c>
      <c r="L237" s="4">
        <v>31671</v>
      </c>
      <c r="M237" s="4">
        <v>0</v>
      </c>
      <c r="N237" t="s">
        <v>26</v>
      </c>
      <c r="O237" s="4">
        <v>15390</v>
      </c>
      <c r="P237" s="4">
        <v>15194.12</v>
      </c>
      <c r="Q237" s="4">
        <v>0</v>
      </c>
      <c r="R237" t="s">
        <v>34</v>
      </c>
      <c r="S237" t="s">
        <v>35</v>
      </c>
    </row>
    <row r="238" spans="1:19" x14ac:dyDescent="0.25">
      <c r="A238" t="s">
        <v>313</v>
      </c>
      <c r="B238" t="s">
        <v>314</v>
      </c>
      <c r="C238" t="s">
        <v>40</v>
      </c>
      <c r="D238" t="s">
        <v>41</v>
      </c>
      <c r="E238" t="s">
        <v>22</v>
      </c>
      <c r="F238" t="s">
        <v>23</v>
      </c>
      <c r="G238" t="s">
        <v>409</v>
      </c>
      <c r="H238" t="s">
        <v>410</v>
      </c>
      <c r="I238" s="3">
        <f>DATEVALUE("2024/07/30 00:00:00")</f>
        <v>45503</v>
      </c>
      <c r="J238" s="3">
        <f>DATEVALUE("2024/11/06 00:00:00")</f>
        <v>45602</v>
      </c>
      <c r="K238" s="3">
        <f>DATEVALUE("2024/11/11 00:00:00")</f>
        <v>45607</v>
      </c>
      <c r="L238" s="4">
        <v>4288</v>
      </c>
      <c r="M238" s="4">
        <v>4288</v>
      </c>
      <c r="N238" t="s">
        <v>26</v>
      </c>
      <c r="O238" s="4">
        <v>1216</v>
      </c>
      <c r="P238" s="4">
        <v>0</v>
      </c>
      <c r="Q238" s="4">
        <v>1216</v>
      </c>
      <c r="R238" t="s">
        <v>27</v>
      </c>
      <c r="S238" t="s">
        <v>1</v>
      </c>
    </row>
    <row r="239" spans="1:19" x14ac:dyDescent="0.25">
      <c r="A239" t="s">
        <v>313</v>
      </c>
      <c r="B239" t="s">
        <v>314</v>
      </c>
      <c r="C239" t="s">
        <v>44</v>
      </c>
      <c r="D239" t="s">
        <v>45</v>
      </c>
      <c r="E239" t="s">
        <v>22</v>
      </c>
      <c r="F239" t="s">
        <v>23</v>
      </c>
      <c r="G239" t="s">
        <v>411</v>
      </c>
      <c r="H239" t="s">
        <v>412</v>
      </c>
      <c r="I239" s="3">
        <f>DATEVALUE("2024/01/09 00:00:00")</f>
        <v>45300</v>
      </c>
      <c r="J239" s="3">
        <f>DATEVALUE("2024/05/02 00:00:00")</f>
        <v>45414</v>
      </c>
      <c r="K239" s="3">
        <f>DATEVALUE("2024/05/16 00:00:00")</f>
        <v>45428</v>
      </c>
      <c r="L239" s="4">
        <v>34984.800000000003</v>
      </c>
      <c r="M239" s="4">
        <v>0</v>
      </c>
      <c r="N239" t="s">
        <v>26</v>
      </c>
      <c r="O239" s="4">
        <v>17741.28</v>
      </c>
      <c r="P239" s="4">
        <v>16567.169999999998</v>
      </c>
      <c r="Q239" s="4">
        <v>0</v>
      </c>
      <c r="R239" t="s">
        <v>34</v>
      </c>
      <c r="S239" t="s">
        <v>35</v>
      </c>
    </row>
    <row r="240" spans="1:19" x14ac:dyDescent="0.25">
      <c r="A240" t="s">
        <v>313</v>
      </c>
      <c r="B240" t="s">
        <v>314</v>
      </c>
      <c r="C240" t="s">
        <v>44</v>
      </c>
      <c r="D240" t="s">
        <v>45</v>
      </c>
      <c r="E240" t="s">
        <v>22</v>
      </c>
      <c r="F240" t="s">
        <v>23</v>
      </c>
      <c r="G240" t="s">
        <v>413</v>
      </c>
      <c r="H240" t="s">
        <v>414</v>
      </c>
      <c r="I240" s="3">
        <f>DATEVALUE("2024/01/09 00:00:00")</f>
        <v>45300</v>
      </c>
      <c r="J240" s="3">
        <f>DATEVALUE("2024/05/02 00:00:00")</f>
        <v>45414</v>
      </c>
      <c r="K240" s="3">
        <f>DATEVALUE("2024/05/16 00:00:00")</f>
        <v>45428</v>
      </c>
      <c r="L240" s="4">
        <v>36194.1</v>
      </c>
      <c r="M240" s="4">
        <v>0</v>
      </c>
      <c r="N240" t="s">
        <v>26</v>
      </c>
      <c r="O240" s="4">
        <v>18655.84</v>
      </c>
      <c r="P240" s="4">
        <v>17340.27</v>
      </c>
      <c r="Q240" s="4">
        <v>0</v>
      </c>
      <c r="R240" t="s">
        <v>34</v>
      </c>
      <c r="S240" t="s">
        <v>35</v>
      </c>
    </row>
    <row r="241" spans="1:19" x14ac:dyDescent="0.25">
      <c r="A241" t="s">
        <v>313</v>
      </c>
      <c r="B241" t="s">
        <v>314</v>
      </c>
      <c r="C241" t="s">
        <v>44</v>
      </c>
      <c r="D241" t="s">
        <v>45</v>
      </c>
      <c r="E241" t="s">
        <v>22</v>
      </c>
      <c r="F241" t="s">
        <v>23</v>
      </c>
      <c r="G241" t="s">
        <v>415</v>
      </c>
      <c r="H241" t="s">
        <v>416</v>
      </c>
      <c r="I241" s="3">
        <f>DATEVALUE("2024/01/22 00:00:00")</f>
        <v>45313</v>
      </c>
      <c r="J241" s="3">
        <f>DATEVALUE("2024/05/15 00:00:00")</f>
        <v>45427</v>
      </c>
      <c r="K241" s="3">
        <f>DATEVALUE("2024/05/22 00:00:00")</f>
        <v>45434</v>
      </c>
      <c r="L241" s="4">
        <v>37795.199999999997</v>
      </c>
      <c r="M241" s="4">
        <v>0</v>
      </c>
      <c r="N241" t="s">
        <v>26</v>
      </c>
      <c r="O241" s="4">
        <v>16970.52</v>
      </c>
      <c r="P241" s="4">
        <v>15483.1</v>
      </c>
      <c r="Q241" s="4">
        <v>0</v>
      </c>
      <c r="R241" t="s">
        <v>34</v>
      </c>
      <c r="S241" t="s">
        <v>35</v>
      </c>
    </row>
    <row r="242" spans="1:19" x14ac:dyDescent="0.25">
      <c r="A242" t="s">
        <v>313</v>
      </c>
      <c r="B242" t="s">
        <v>314</v>
      </c>
      <c r="C242" t="s">
        <v>44</v>
      </c>
      <c r="D242" t="s">
        <v>45</v>
      </c>
      <c r="E242" t="s">
        <v>22</v>
      </c>
      <c r="F242" t="s">
        <v>23</v>
      </c>
      <c r="G242" t="s">
        <v>417</v>
      </c>
      <c r="H242" t="s">
        <v>418</v>
      </c>
      <c r="I242" s="3">
        <f>DATEVALUE("2024/03/19 00:00:00")</f>
        <v>45370</v>
      </c>
      <c r="J242" s="3">
        <f>DATEVALUE("2024/06/15 00:00:00")</f>
        <v>45458</v>
      </c>
      <c r="K242" s="3">
        <f>DATEVALUE("2024/07/26 00:00:00")</f>
        <v>45499</v>
      </c>
      <c r="L242" s="4">
        <v>33776.639999999999</v>
      </c>
      <c r="M242" s="4">
        <v>0</v>
      </c>
      <c r="N242" t="s">
        <v>26</v>
      </c>
      <c r="O242" s="4">
        <v>17376.96</v>
      </c>
      <c r="P242" s="4">
        <v>16589.88</v>
      </c>
      <c r="Q242" s="4">
        <v>0</v>
      </c>
      <c r="R242" t="s">
        <v>34</v>
      </c>
      <c r="S242" t="s">
        <v>35</v>
      </c>
    </row>
    <row r="243" spans="1:19" x14ac:dyDescent="0.25">
      <c r="A243" t="s">
        <v>313</v>
      </c>
      <c r="B243" t="s">
        <v>314</v>
      </c>
      <c r="C243" t="s">
        <v>44</v>
      </c>
      <c r="D243" t="s">
        <v>45</v>
      </c>
      <c r="E243" t="s">
        <v>22</v>
      </c>
      <c r="F243" t="s">
        <v>23</v>
      </c>
      <c r="G243" t="s">
        <v>419</v>
      </c>
      <c r="H243" t="s">
        <v>420</v>
      </c>
      <c r="I243" s="3">
        <f>DATEVALUE("2024/03/25 00:00:00")</f>
        <v>45376</v>
      </c>
      <c r="J243" s="3">
        <f>DATEVALUE("2024/07/03 00:00:00")</f>
        <v>45476</v>
      </c>
      <c r="K243" s="3">
        <f>DATEVALUE("2024/08/09 00:00:00")</f>
        <v>45513</v>
      </c>
      <c r="L243" s="4">
        <v>33817.919999999998</v>
      </c>
      <c r="M243" s="4">
        <v>0</v>
      </c>
      <c r="N243" t="s">
        <v>26</v>
      </c>
      <c r="O243" s="4">
        <v>16066.56</v>
      </c>
      <c r="P243" s="4">
        <v>15180.88</v>
      </c>
      <c r="Q243" s="4">
        <v>0</v>
      </c>
      <c r="R243" t="s">
        <v>34</v>
      </c>
      <c r="S243" t="s">
        <v>35</v>
      </c>
    </row>
    <row r="244" spans="1:19" x14ac:dyDescent="0.25">
      <c r="A244" t="s">
        <v>313</v>
      </c>
      <c r="B244" t="s">
        <v>314</v>
      </c>
      <c r="C244" t="s">
        <v>44</v>
      </c>
      <c r="D244" t="s">
        <v>45</v>
      </c>
      <c r="E244" t="s">
        <v>22</v>
      </c>
      <c r="F244" t="s">
        <v>23</v>
      </c>
      <c r="G244" t="s">
        <v>421</v>
      </c>
      <c r="H244" t="s">
        <v>422</v>
      </c>
      <c r="I244" s="3">
        <f>DATEVALUE("2024/04/08 00:00:00")</f>
        <v>45390</v>
      </c>
      <c r="J244" s="3">
        <f>DATEVALUE("2024/07/31 00:00:00")</f>
        <v>45504</v>
      </c>
      <c r="K244" s="3">
        <f>DATEVALUE("2024/08/07 00:00:00")</f>
        <v>45511</v>
      </c>
      <c r="L244" s="4">
        <v>36864</v>
      </c>
      <c r="M244" s="4">
        <v>0</v>
      </c>
      <c r="N244" t="s">
        <v>26</v>
      </c>
      <c r="O244" s="4">
        <v>19292.16</v>
      </c>
      <c r="P244" s="4">
        <v>18097.96</v>
      </c>
      <c r="Q244" s="4">
        <v>0</v>
      </c>
      <c r="R244" t="s">
        <v>34</v>
      </c>
      <c r="S244" t="s">
        <v>35</v>
      </c>
    </row>
    <row r="245" spans="1:19" x14ac:dyDescent="0.25">
      <c r="A245" t="s">
        <v>313</v>
      </c>
      <c r="B245" t="s">
        <v>314</v>
      </c>
      <c r="C245" t="s">
        <v>44</v>
      </c>
      <c r="D245" t="s">
        <v>45</v>
      </c>
      <c r="E245" t="s">
        <v>22</v>
      </c>
      <c r="F245" t="s">
        <v>23</v>
      </c>
      <c r="G245" t="s">
        <v>423</v>
      </c>
      <c r="H245" t="s">
        <v>424</v>
      </c>
      <c r="I245" s="3">
        <f>DATEVALUE("2024/05/02 00:00:00")</f>
        <v>45414</v>
      </c>
      <c r="J245" s="3">
        <f>DATEVALUE("2024/06/28 00:00:00")</f>
        <v>45471</v>
      </c>
      <c r="K245" s="3">
        <f>DATEVALUE("2024/07/05 00:00:00")</f>
        <v>45478</v>
      </c>
      <c r="L245" s="4">
        <v>37724.160000000003</v>
      </c>
      <c r="M245" s="4">
        <v>0</v>
      </c>
      <c r="N245" t="s">
        <v>26</v>
      </c>
      <c r="O245" s="4">
        <v>19292.16</v>
      </c>
      <c r="P245" s="4">
        <v>18038.28</v>
      </c>
      <c r="Q245" s="4">
        <v>0</v>
      </c>
      <c r="R245" t="s">
        <v>34</v>
      </c>
      <c r="S245" t="s">
        <v>35</v>
      </c>
    </row>
    <row r="246" spans="1:19" x14ac:dyDescent="0.25">
      <c r="A246" t="s">
        <v>313</v>
      </c>
      <c r="B246" t="s">
        <v>314</v>
      </c>
      <c r="C246" t="s">
        <v>44</v>
      </c>
      <c r="D246" t="s">
        <v>45</v>
      </c>
      <c r="E246" t="s">
        <v>22</v>
      </c>
      <c r="F246" t="s">
        <v>23</v>
      </c>
      <c r="G246" t="s">
        <v>425</v>
      </c>
      <c r="H246" t="s">
        <v>426</v>
      </c>
      <c r="I246" s="3">
        <f>DATEVALUE("2024/08/13 00:00:00")</f>
        <v>45517</v>
      </c>
      <c r="J246" s="3">
        <f>DATEVALUE("2024/10/23 00:00:00")</f>
        <v>45588</v>
      </c>
      <c r="K246" s="3">
        <f>DATEVALUE("2024/10/30 00:00:00")</f>
        <v>45595</v>
      </c>
      <c r="L246" s="4">
        <v>24663.84</v>
      </c>
      <c r="M246" s="4">
        <v>0</v>
      </c>
      <c r="N246" t="s">
        <v>26</v>
      </c>
      <c r="O246" s="4">
        <v>12583.2</v>
      </c>
      <c r="P246" s="4">
        <v>11723.3</v>
      </c>
      <c r="Q246" s="4">
        <v>0</v>
      </c>
      <c r="R246" t="s">
        <v>34</v>
      </c>
      <c r="S246" t="s">
        <v>35</v>
      </c>
    </row>
    <row r="247" spans="1:19" x14ac:dyDescent="0.25">
      <c r="A247" t="s">
        <v>313</v>
      </c>
      <c r="B247" t="s">
        <v>314</v>
      </c>
      <c r="C247" t="s">
        <v>44</v>
      </c>
      <c r="D247" t="s">
        <v>45</v>
      </c>
      <c r="E247" t="s">
        <v>22</v>
      </c>
      <c r="F247" t="s">
        <v>23</v>
      </c>
      <c r="G247" t="s">
        <v>427</v>
      </c>
      <c r="H247" t="s">
        <v>428</v>
      </c>
      <c r="I247" s="3">
        <f>DATEVALUE("2024/08/13 00:00:00")</f>
        <v>45517</v>
      </c>
      <c r="J247" s="3">
        <f>DATEVALUE("2024/10/23 00:00:00")</f>
        <v>45588</v>
      </c>
      <c r="K247" s="3">
        <f>DATEVALUE("2024/10/30 00:00:00")</f>
        <v>45595</v>
      </c>
      <c r="L247" s="4">
        <v>9381.1200000000008</v>
      </c>
      <c r="M247" s="4">
        <v>0</v>
      </c>
      <c r="N247" t="s">
        <v>26</v>
      </c>
      <c r="O247" s="4">
        <v>4915.2</v>
      </c>
      <c r="P247" s="4">
        <v>4559.34</v>
      </c>
      <c r="Q247" s="4">
        <v>0</v>
      </c>
      <c r="R247" t="s">
        <v>34</v>
      </c>
      <c r="S247" t="s">
        <v>35</v>
      </c>
    </row>
    <row r="248" spans="1:19" x14ac:dyDescent="0.25">
      <c r="A248" t="s">
        <v>313</v>
      </c>
      <c r="B248" t="s">
        <v>314</v>
      </c>
      <c r="C248" t="s">
        <v>44</v>
      </c>
      <c r="D248" t="s">
        <v>45</v>
      </c>
      <c r="E248" t="s">
        <v>22</v>
      </c>
      <c r="F248" t="s">
        <v>23</v>
      </c>
      <c r="G248" t="s">
        <v>429</v>
      </c>
      <c r="H248" t="s">
        <v>430</v>
      </c>
      <c r="I248" s="3">
        <f>DATEVALUE("2024/08/27 00:00:00")</f>
        <v>45531</v>
      </c>
      <c r="J248" s="3">
        <f>DATEVALUE("2024/11/13 00:00:00")</f>
        <v>45609</v>
      </c>
      <c r="K248" s="3">
        <f>DATEVALUE("2024/11/20 00:00:00")</f>
        <v>45616</v>
      </c>
      <c r="L248" s="4">
        <v>36003.839999999997</v>
      </c>
      <c r="M248" s="4">
        <v>36003.839999999997</v>
      </c>
      <c r="N248" t="s">
        <v>26</v>
      </c>
      <c r="O248" s="4">
        <v>19292.16</v>
      </c>
      <c r="P248" s="4">
        <v>0</v>
      </c>
      <c r="Q248" s="4">
        <v>19292.16</v>
      </c>
      <c r="R248" t="s">
        <v>27</v>
      </c>
      <c r="S248" t="s">
        <v>1</v>
      </c>
    </row>
    <row r="249" spans="1:19" x14ac:dyDescent="0.25">
      <c r="A249" t="s">
        <v>313</v>
      </c>
      <c r="B249" t="s">
        <v>314</v>
      </c>
      <c r="C249" t="s">
        <v>44</v>
      </c>
      <c r="D249" t="s">
        <v>45</v>
      </c>
      <c r="E249" t="s">
        <v>22</v>
      </c>
      <c r="F249" t="s">
        <v>23</v>
      </c>
      <c r="G249" t="s">
        <v>431</v>
      </c>
      <c r="H249" t="s">
        <v>432</v>
      </c>
      <c r="I249" s="3">
        <f>DATEVALUE("2024/08/27 00:00:00")</f>
        <v>45531</v>
      </c>
      <c r="J249" s="3">
        <f>DATEVALUE("2024/11/13 00:00:00")</f>
        <v>45609</v>
      </c>
      <c r="K249" s="3">
        <f>DATEVALUE("2024/11/20 00:00:00")</f>
        <v>45616</v>
      </c>
      <c r="L249" s="4">
        <v>36003.839999999997</v>
      </c>
      <c r="M249" s="4">
        <v>36003.839999999997</v>
      </c>
      <c r="N249" t="s">
        <v>26</v>
      </c>
      <c r="O249" s="4">
        <v>19292.16</v>
      </c>
      <c r="P249" s="4">
        <v>0</v>
      </c>
      <c r="Q249" s="4">
        <v>19292.16</v>
      </c>
      <c r="R249" t="s">
        <v>27</v>
      </c>
      <c r="S249" t="s">
        <v>1</v>
      </c>
    </row>
    <row r="250" spans="1:19" x14ac:dyDescent="0.25">
      <c r="A250" t="s">
        <v>313</v>
      </c>
      <c r="B250" t="s">
        <v>314</v>
      </c>
      <c r="C250" t="s">
        <v>44</v>
      </c>
      <c r="D250" t="s">
        <v>45</v>
      </c>
      <c r="E250" t="s">
        <v>22</v>
      </c>
      <c r="F250" t="s">
        <v>23</v>
      </c>
      <c r="G250" t="s">
        <v>433</v>
      </c>
      <c r="H250" t="s">
        <v>434</v>
      </c>
      <c r="I250" s="3">
        <f>DATEVALUE("2024/09/18 00:00:00")</f>
        <v>45553</v>
      </c>
      <c r="J250" s="3">
        <f>DATEVALUE("2024/12/10 00:00:00")</f>
        <v>45636</v>
      </c>
      <c r="K250" s="3">
        <f>DATEVALUE("2024/12/17 00:00:00")</f>
        <v>45643</v>
      </c>
      <c r="L250" s="4">
        <v>37569.120000000003</v>
      </c>
      <c r="M250" s="4">
        <v>37569.120000000003</v>
      </c>
      <c r="N250" t="s">
        <v>26</v>
      </c>
      <c r="O250" s="4">
        <v>18327.7</v>
      </c>
      <c r="P250" s="4">
        <v>0</v>
      </c>
      <c r="Q250" s="4">
        <v>18327.7</v>
      </c>
      <c r="R250" t="s">
        <v>27</v>
      </c>
      <c r="S250" t="s">
        <v>1</v>
      </c>
    </row>
    <row r="251" spans="1:19" x14ac:dyDescent="0.25">
      <c r="A251" t="s">
        <v>313</v>
      </c>
      <c r="B251" t="s">
        <v>314</v>
      </c>
      <c r="C251" t="s">
        <v>44</v>
      </c>
      <c r="D251" t="s">
        <v>45</v>
      </c>
      <c r="E251" t="s">
        <v>22</v>
      </c>
      <c r="F251" t="s">
        <v>23</v>
      </c>
      <c r="G251" t="s">
        <v>435</v>
      </c>
      <c r="H251" t="s">
        <v>436</v>
      </c>
      <c r="I251" s="3">
        <f>DATEVALUE("2024/10/11 00:00:00")</f>
        <v>45576</v>
      </c>
      <c r="J251" s="3">
        <f>DATEVALUE("2024/12/24 00:00:00")</f>
        <v>45650</v>
      </c>
      <c r="K251" s="3">
        <f>DATEVALUE("2024/12/31 00:00:00")</f>
        <v>45657</v>
      </c>
      <c r="L251" s="4">
        <v>34609.919999999998</v>
      </c>
      <c r="M251" s="4">
        <v>34609.919999999998</v>
      </c>
      <c r="N251" t="s">
        <v>26</v>
      </c>
      <c r="O251" s="4">
        <v>18781.439999999999</v>
      </c>
      <c r="P251" s="4">
        <v>0</v>
      </c>
      <c r="Q251" s="4">
        <v>18781.439999999999</v>
      </c>
      <c r="R251" t="s">
        <v>27</v>
      </c>
      <c r="S251" t="s">
        <v>1</v>
      </c>
    </row>
    <row r="252" spans="1:19" x14ac:dyDescent="0.25">
      <c r="A252" t="s">
        <v>313</v>
      </c>
      <c r="B252" t="s">
        <v>314</v>
      </c>
      <c r="C252" t="s">
        <v>20</v>
      </c>
      <c r="D252" t="s">
        <v>21</v>
      </c>
      <c r="E252" t="s">
        <v>22</v>
      </c>
      <c r="F252" t="s">
        <v>23</v>
      </c>
      <c r="G252" t="s">
        <v>437</v>
      </c>
      <c r="H252" t="s">
        <v>438</v>
      </c>
      <c r="I252" s="3">
        <f>DATEVALUE("2023/11/14 00:00:00")</f>
        <v>45244</v>
      </c>
      <c r="J252" s="3">
        <f>DATEVALUE("2024/04/18 00:00:00")</f>
        <v>45400</v>
      </c>
      <c r="K252" s="3">
        <f>DATEVALUE("2024/04/25 00:00:00")</f>
        <v>45407</v>
      </c>
      <c r="L252" s="4">
        <v>169691.92</v>
      </c>
      <c r="M252" s="4">
        <v>0</v>
      </c>
      <c r="N252" t="s">
        <v>26</v>
      </c>
      <c r="O252" s="4">
        <v>14734</v>
      </c>
      <c r="P252" s="4">
        <v>13388.58</v>
      </c>
      <c r="Q252" s="4">
        <v>0</v>
      </c>
      <c r="R252" t="s">
        <v>34</v>
      </c>
      <c r="S252" t="s">
        <v>35</v>
      </c>
    </row>
    <row r="253" spans="1:19" x14ac:dyDescent="0.25">
      <c r="A253" t="s">
        <v>313</v>
      </c>
      <c r="B253" t="s">
        <v>314</v>
      </c>
      <c r="C253" t="s">
        <v>20</v>
      </c>
      <c r="D253" t="s">
        <v>21</v>
      </c>
      <c r="E253" t="s">
        <v>439</v>
      </c>
      <c r="F253" t="s">
        <v>440</v>
      </c>
      <c r="G253" t="s">
        <v>437</v>
      </c>
      <c r="H253" t="s">
        <v>438</v>
      </c>
      <c r="I253" s="3">
        <f>DATEVALUE("2023/11/14 00:00:00")</f>
        <v>45244</v>
      </c>
      <c r="J253" s="3">
        <f>DATEVALUE("2024/04/18 00:00:00")</f>
        <v>45400</v>
      </c>
      <c r="K253" s="3">
        <f>DATEVALUE("2024/04/25 00:00:00")</f>
        <v>45407</v>
      </c>
      <c r="L253" s="4">
        <v>135</v>
      </c>
      <c r="M253" s="4">
        <v>0</v>
      </c>
      <c r="N253" t="s">
        <v>26</v>
      </c>
      <c r="O253" s="4">
        <v>33</v>
      </c>
      <c r="P253" s="4">
        <v>33</v>
      </c>
      <c r="Q253" s="4">
        <v>0</v>
      </c>
      <c r="R253" t="s">
        <v>34</v>
      </c>
      <c r="S253" t="s">
        <v>35</v>
      </c>
    </row>
    <row r="254" spans="1:19" x14ac:dyDescent="0.25">
      <c r="A254" t="s">
        <v>313</v>
      </c>
      <c r="B254" t="s">
        <v>314</v>
      </c>
      <c r="C254" t="s">
        <v>20</v>
      </c>
      <c r="D254" t="s">
        <v>21</v>
      </c>
      <c r="E254" t="s">
        <v>22</v>
      </c>
      <c r="F254" t="s">
        <v>23</v>
      </c>
      <c r="G254" t="s">
        <v>441</v>
      </c>
      <c r="H254" t="s">
        <v>442</v>
      </c>
      <c r="I254" s="3">
        <f>DATEVALUE("2024/02/02 00:00:00")</f>
        <v>45324</v>
      </c>
      <c r="J254" s="3">
        <f>DATEVALUE("2024/06/28 00:00:00")</f>
        <v>45471</v>
      </c>
      <c r="K254" s="3">
        <f>DATEVALUE("2024/07/08 00:00:00")</f>
        <v>45481</v>
      </c>
      <c r="L254" s="4">
        <v>143942.88</v>
      </c>
      <c r="M254" s="4">
        <v>0</v>
      </c>
      <c r="N254" t="s">
        <v>26</v>
      </c>
      <c r="O254" s="4">
        <v>14631.77</v>
      </c>
      <c r="P254" s="4">
        <v>13469.75</v>
      </c>
      <c r="Q254" s="4">
        <v>0</v>
      </c>
      <c r="R254" t="s">
        <v>34</v>
      </c>
      <c r="S254" t="s">
        <v>35</v>
      </c>
    </row>
    <row r="255" spans="1:19" x14ac:dyDescent="0.25">
      <c r="A255" t="s">
        <v>313</v>
      </c>
      <c r="B255" t="s">
        <v>314</v>
      </c>
      <c r="C255" t="s">
        <v>20</v>
      </c>
      <c r="D255" t="s">
        <v>21</v>
      </c>
      <c r="E255" t="s">
        <v>439</v>
      </c>
      <c r="F255" t="s">
        <v>440</v>
      </c>
      <c r="G255" t="s">
        <v>441</v>
      </c>
      <c r="H255" t="s">
        <v>442</v>
      </c>
      <c r="I255" s="3">
        <f>DATEVALUE("2024/02/02 00:00:00")</f>
        <v>45324</v>
      </c>
      <c r="J255" s="3">
        <f>DATEVALUE("2024/07/15 00:00:00")</f>
        <v>45488</v>
      </c>
      <c r="K255" s="3">
        <f>DATEVALUE("2024/07/15 00:00:00")</f>
        <v>45488</v>
      </c>
      <c r="L255" s="4">
        <v>25.2</v>
      </c>
      <c r="M255" s="4">
        <v>0</v>
      </c>
      <c r="N255" t="s">
        <v>26</v>
      </c>
      <c r="O255" s="4">
        <v>1.62</v>
      </c>
      <c r="P255" s="4">
        <v>1.33</v>
      </c>
      <c r="Q255" s="4">
        <v>0</v>
      </c>
      <c r="R255" t="s">
        <v>34</v>
      </c>
      <c r="S255" t="s">
        <v>35</v>
      </c>
    </row>
    <row r="256" spans="1:19" x14ac:dyDescent="0.25">
      <c r="A256" t="s">
        <v>313</v>
      </c>
      <c r="B256" t="s">
        <v>314</v>
      </c>
      <c r="C256" t="s">
        <v>20</v>
      </c>
      <c r="D256" t="s">
        <v>21</v>
      </c>
      <c r="E256" t="s">
        <v>22</v>
      </c>
      <c r="F256" t="s">
        <v>23</v>
      </c>
      <c r="G256" t="s">
        <v>443</v>
      </c>
      <c r="H256" t="s">
        <v>444</v>
      </c>
      <c r="I256" s="3">
        <f>DATEVALUE("2024/02/02 00:00:00")</f>
        <v>45324</v>
      </c>
      <c r="J256" s="3">
        <f>DATEVALUE("2024/06/26 00:00:00")</f>
        <v>45469</v>
      </c>
      <c r="K256" s="3">
        <f>DATEVALUE("2024/07/03 00:00:00")</f>
        <v>45476</v>
      </c>
      <c r="L256" s="4">
        <v>94715.04</v>
      </c>
      <c r="M256" s="4">
        <v>0</v>
      </c>
      <c r="N256" t="s">
        <v>26</v>
      </c>
      <c r="O256" s="4">
        <v>8264.92</v>
      </c>
      <c r="P256" s="4">
        <v>7512.63</v>
      </c>
      <c r="Q256" s="4">
        <v>0</v>
      </c>
      <c r="R256" t="s">
        <v>34</v>
      </c>
      <c r="S256" t="s">
        <v>35</v>
      </c>
    </row>
    <row r="257" spans="1:19" x14ac:dyDescent="0.25">
      <c r="A257" t="s">
        <v>313</v>
      </c>
      <c r="B257" t="s">
        <v>314</v>
      </c>
      <c r="C257" t="s">
        <v>20</v>
      </c>
      <c r="D257" t="s">
        <v>21</v>
      </c>
      <c r="E257" t="s">
        <v>22</v>
      </c>
      <c r="F257" t="s">
        <v>23</v>
      </c>
      <c r="G257" t="s">
        <v>445</v>
      </c>
      <c r="H257" t="s">
        <v>446</v>
      </c>
      <c r="I257" s="3">
        <f>DATEVALUE("2024/02/02 00:00:00")</f>
        <v>45324</v>
      </c>
      <c r="J257" s="3">
        <f>DATEVALUE("2024/06/26 00:00:00")</f>
        <v>45469</v>
      </c>
      <c r="K257" s="3">
        <f>DATEVALUE("2024/07/03 00:00:00")</f>
        <v>45476</v>
      </c>
      <c r="L257" s="4">
        <v>84032.960000000006</v>
      </c>
      <c r="M257" s="4">
        <v>0</v>
      </c>
      <c r="N257" t="s">
        <v>26</v>
      </c>
      <c r="O257" s="4">
        <v>7178.53</v>
      </c>
      <c r="P257" s="4">
        <v>6632.28</v>
      </c>
      <c r="Q257" s="4">
        <v>0</v>
      </c>
      <c r="R257" t="s">
        <v>34</v>
      </c>
      <c r="S257" t="s">
        <v>35</v>
      </c>
    </row>
    <row r="258" spans="1:19" x14ac:dyDescent="0.25">
      <c r="A258" t="s">
        <v>313</v>
      </c>
      <c r="B258" t="s">
        <v>314</v>
      </c>
      <c r="C258" t="s">
        <v>20</v>
      </c>
      <c r="D258" t="s">
        <v>21</v>
      </c>
      <c r="E258" t="s">
        <v>22</v>
      </c>
      <c r="F258" t="s">
        <v>23</v>
      </c>
      <c r="G258" t="s">
        <v>445</v>
      </c>
      <c r="H258" t="s">
        <v>446</v>
      </c>
      <c r="I258" s="3">
        <f>DATEVALUE("2024/02/02 00:00:00")</f>
        <v>45324</v>
      </c>
      <c r="J258" s="3">
        <f>DATEVALUE("2024/06/26 00:00:00")</f>
        <v>45469</v>
      </c>
      <c r="K258" s="3">
        <f>DATEVALUE("2024/05/30 00:00:00")</f>
        <v>45442</v>
      </c>
      <c r="L258" s="4">
        <v>3970.56</v>
      </c>
      <c r="M258" s="4">
        <v>0</v>
      </c>
      <c r="N258" t="s">
        <v>26</v>
      </c>
      <c r="O258" s="4">
        <v>534.36</v>
      </c>
      <c r="P258" s="4">
        <v>462.51</v>
      </c>
      <c r="Q258" s="4">
        <v>0</v>
      </c>
      <c r="R258" t="s">
        <v>34</v>
      </c>
      <c r="S258" t="s">
        <v>35</v>
      </c>
    </row>
    <row r="259" spans="1:19" x14ac:dyDescent="0.25">
      <c r="A259" t="s">
        <v>313</v>
      </c>
      <c r="B259" t="s">
        <v>314</v>
      </c>
      <c r="C259" t="s">
        <v>20</v>
      </c>
      <c r="D259" t="s">
        <v>21</v>
      </c>
      <c r="E259" t="s">
        <v>22</v>
      </c>
      <c r="F259" t="s">
        <v>23</v>
      </c>
      <c r="G259" t="s">
        <v>447</v>
      </c>
      <c r="H259" t="s">
        <v>448</v>
      </c>
      <c r="I259" s="3">
        <f>DATEVALUE("2024/02/05 00:00:00")</f>
        <v>45327</v>
      </c>
      <c r="J259" s="3">
        <f>DATEVALUE("2024/02/19 00:00:00")</f>
        <v>45341</v>
      </c>
      <c r="K259" s="3">
        <f>DATEVALUE("2024/02/26 00:00:00")</f>
        <v>45348</v>
      </c>
      <c r="L259" s="4">
        <v>126466.8</v>
      </c>
      <c r="M259" s="4">
        <v>0</v>
      </c>
      <c r="N259" t="s">
        <v>26</v>
      </c>
      <c r="O259" s="4">
        <v>13961.2</v>
      </c>
      <c r="P259" s="4">
        <v>12765.52</v>
      </c>
      <c r="Q259" s="4">
        <v>0</v>
      </c>
      <c r="R259" t="s">
        <v>34</v>
      </c>
      <c r="S259" t="s">
        <v>35</v>
      </c>
    </row>
    <row r="260" spans="1:19" x14ac:dyDescent="0.25">
      <c r="A260" t="s">
        <v>313</v>
      </c>
      <c r="B260" t="s">
        <v>314</v>
      </c>
      <c r="C260" t="s">
        <v>20</v>
      </c>
      <c r="D260" t="s">
        <v>21</v>
      </c>
      <c r="E260" t="s">
        <v>22</v>
      </c>
      <c r="F260" t="s">
        <v>23</v>
      </c>
      <c r="G260" t="s">
        <v>449</v>
      </c>
      <c r="H260" t="s">
        <v>450</v>
      </c>
      <c r="I260" s="3">
        <f>DATEVALUE("2024/02/05 00:00:00")</f>
        <v>45327</v>
      </c>
      <c r="J260" s="3">
        <f>DATEVALUE("2024/02/26 00:00:00")</f>
        <v>45348</v>
      </c>
      <c r="K260" s="3">
        <f>DATEVALUE("2024/03/04 00:00:00")</f>
        <v>45355</v>
      </c>
      <c r="L260" s="4">
        <v>174429.04</v>
      </c>
      <c r="M260" s="4">
        <v>0</v>
      </c>
      <c r="N260" t="s">
        <v>26</v>
      </c>
      <c r="O260" s="4">
        <v>19249.240000000002</v>
      </c>
      <c r="P260" s="4">
        <v>18004.14</v>
      </c>
      <c r="Q260" s="4">
        <v>0</v>
      </c>
      <c r="R260" t="s">
        <v>34</v>
      </c>
      <c r="S260" t="s">
        <v>35</v>
      </c>
    </row>
    <row r="261" spans="1:19" x14ac:dyDescent="0.25">
      <c r="A261" t="s">
        <v>313</v>
      </c>
      <c r="B261" t="s">
        <v>314</v>
      </c>
      <c r="C261" t="s">
        <v>20</v>
      </c>
      <c r="D261" t="s">
        <v>21</v>
      </c>
      <c r="E261" t="s">
        <v>22</v>
      </c>
      <c r="F261" t="s">
        <v>23</v>
      </c>
      <c r="G261" t="s">
        <v>451</v>
      </c>
      <c r="H261" t="s">
        <v>452</v>
      </c>
      <c r="I261" s="3">
        <f>DATEVALUE("2024/02/05 00:00:00")</f>
        <v>45327</v>
      </c>
      <c r="J261" s="3">
        <f>DATEVALUE("2024/04/15 00:00:00")</f>
        <v>45397</v>
      </c>
      <c r="K261" s="3">
        <f>DATEVALUE("2024/04/22 00:00:00")</f>
        <v>45404</v>
      </c>
      <c r="L261" s="4">
        <v>183148.79999999999</v>
      </c>
      <c r="M261" s="4">
        <v>0</v>
      </c>
      <c r="N261" t="s">
        <v>26</v>
      </c>
      <c r="O261" s="4">
        <v>20510.64</v>
      </c>
      <c r="P261" s="4">
        <v>18789.72</v>
      </c>
      <c r="Q261" s="4">
        <v>0</v>
      </c>
      <c r="R261" t="s">
        <v>34</v>
      </c>
      <c r="S261" t="s">
        <v>35</v>
      </c>
    </row>
    <row r="262" spans="1:19" x14ac:dyDescent="0.25">
      <c r="A262" t="s">
        <v>313</v>
      </c>
      <c r="B262" t="s">
        <v>314</v>
      </c>
      <c r="C262" t="s">
        <v>20</v>
      </c>
      <c r="D262" t="s">
        <v>21</v>
      </c>
      <c r="E262" t="s">
        <v>439</v>
      </c>
      <c r="F262" t="s">
        <v>440</v>
      </c>
      <c r="G262" t="s">
        <v>451</v>
      </c>
      <c r="H262" t="s">
        <v>452</v>
      </c>
      <c r="I262" s="3">
        <f>DATEVALUE("2024/02/05 00:00:00")</f>
        <v>45327</v>
      </c>
      <c r="J262" s="3">
        <f>DATEVALUE("2024/06/17 00:00:00")</f>
        <v>45460</v>
      </c>
      <c r="K262" s="3">
        <f>DATEVALUE("2024/06/17 00:00:00")</f>
        <v>45460</v>
      </c>
      <c r="L262" s="4">
        <v>103.45</v>
      </c>
      <c r="M262" s="4">
        <v>0</v>
      </c>
      <c r="N262" t="s">
        <v>26</v>
      </c>
      <c r="O262" s="4">
        <v>16</v>
      </c>
      <c r="P262" s="4">
        <v>18</v>
      </c>
      <c r="Q262" s="4">
        <v>0</v>
      </c>
      <c r="R262" t="s">
        <v>34</v>
      </c>
      <c r="S262" t="s">
        <v>35</v>
      </c>
    </row>
    <row r="263" spans="1:19" x14ac:dyDescent="0.25">
      <c r="A263" t="s">
        <v>313</v>
      </c>
      <c r="B263" t="s">
        <v>314</v>
      </c>
      <c r="C263" t="s">
        <v>20</v>
      </c>
      <c r="D263" t="s">
        <v>21</v>
      </c>
      <c r="E263" t="s">
        <v>453</v>
      </c>
      <c r="F263" t="s">
        <v>454</v>
      </c>
      <c r="G263" t="s">
        <v>455</v>
      </c>
      <c r="H263" t="s">
        <v>456</v>
      </c>
      <c r="I263" s="3">
        <f>DATEVALUE("2024/02/21 00:00:00")</f>
        <v>45343</v>
      </c>
      <c r="J263" s="3">
        <f>DATEVALUE("2024/03/08 00:00:00")</f>
        <v>45359</v>
      </c>
      <c r="K263" s="3">
        <f>DATEVALUE("2024/03/15 00:00:00")</f>
        <v>45366</v>
      </c>
      <c r="L263" s="4">
        <v>36</v>
      </c>
      <c r="M263" s="4">
        <v>0</v>
      </c>
      <c r="N263" t="s">
        <v>26</v>
      </c>
      <c r="O263" s="4">
        <v>3.36</v>
      </c>
      <c r="P263" s="4">
        <v>3.81</v>
      </c>
      <c r="Q263" s="4">
        <v>0</v>
      </c>
      <c r="R263" t="s">
        <v>34</v>
      </c>
      <c r="S263" t="s">
        <v>35</v>
      </c>
    </row>
    <row r="264" spans="1:19" x14ac:dyDescent="0.25">
      <c r="A264" t="s">
        <v>313</v>
      </c>
      <c r="B264" t="s">
        <v>314</v>
      </c>
      <c r="C264" t="s">
        <v>20</v>
      </c>
      <c r="D264" t="s">
        <v>21</v>
      </c>
      <c r="E264" t="s">
        <v>439</v>
      </c>
      <c r="F264" t="s">
        <v>440</v>
      </c>
      <c r="G264" t="s">
        <v>455</v>
      </c>
      <c r="H264" t="s">
        <v>456</v>
      </c>
      <c r="I264" s="3">
        <f>DATEVALUE("2024/02/21 00:00:00")</f>
        <v>45343</v>
      </c>
      <c r="J264" s="3">
        <f>DATEVALUE("2024/03/08 00:00:00")</f>
        <v>45359</v>
      </c>
      <c r="K264" s="3">
        <f>DATEVALUE("2024/03/15 00:00:00")</f>
        <v>45366</v>
      </c>
      <c r="L264" s="4">
        <v>412.26</v>
      </c>
      <c r="M264" s="4">
        <v>0</v>
      </c>
      <c r="N264" t="s">
        <v>26</v>
      </c>
      <c r="O264" s="4">
        <v>37.43</v>
      </c>
      <c r="P264" s="4">
        <v>46.26</v>
      </c>
      <c r="Q264" s="4">
        <v>0</v>
      </c>
      <c r="R264" t="s">
        <v>34</v>
      </c>
      <c r="S264" t="s">
        <v>35</v>
      </c>
    </row>
    <row r="265" spans="1:19" x14ac:dyDescent="0.25">
      <c r="A265" t="s">
        <v>313</v>
      </c>
      <c r="B265" t="s">
        <v>314</v>
      </c>
      <c r="C265" t="s">
        <v>20</v>
      </c>
      <c r="D265" t="s">
        <v>21</v>
      </c>
      <c r="E265" t="s">
        <v>22</v>
      </c>
      <c r="F265" t="s">
        <v>23</v>
      </c>
      <c r="G265" t="s">
        <v>457</v>
      </c>
      <c r="H265" t="s">
        <v>458</v>
      </c>
      <c r="I265" s="3">
        <f>DATEVALUE("2024/02/21 00:00:00")</f>
        <v>45343</v>
      </c>
      <c r="J265" s="3">
        <f>DATEVALUE("2024/05/15 00:00:00")</f>
        <v>45427</v>
      </c>
      <c r="K265" s="3">
        <f>DATEVALUE("2024/05/22 00:00:00")</f>
        <v>45434</v>
      </c>
      <c r="L265" s="4">
        <v>52199.16</v>
      </c>
      <c r="M265" s="4">
        <v>0</v>
      </c>
      <c r="N265" t="s">
        <v>26</v>
      </c>
      <c r="O265" s="4">
        <v>19797.27</v>
      </c>
      <c r="P265" s="4">
        <v>19008.73</v>
      </c>
      <c r="Q265" s="4">
        <v>0</v>
      </c>
      <c r="R265" t="s">
        <v>34</v>
      </c>
      <c r="S265" t="s">
        <v>35</v>
      </c>
    </row>
    <row r="266" spans="1:19" x14ac:dyDescent="0.25">
      <c r="A266" t="s">
        <v>313</v>
      </c>
      <c r="B266" t="s">
        <v>314</v>
      </c>
      <c r="C266" t="s">
        <v>20</v>
      </c>
      <c r="D266" t="s">
        <v>21</v>
      </c>
      <c r="E266" t="s">
        <v>22</v>
      </c>
      <c r="F266" t="s">
        <v>23</v>
      </c>
      <c r="G266" t="s">
        <v>459</v>
      </c>
      <c r="H266" t="s">
        <v>460</v>
      </c>
      <c r="I266" s="3">
        <f>DATEVALUE("2024/02/21 00:00:00")</f>
        <v>45343</v>
      </c>
      <c r="J266" s="3">
        <f>DATEVALUE("2024/05/24 00:00:00")</f>
        <v>45436</v>
      </c>
      <c r="K266" s="3">
        <f>DATEVALUE("2024/05/31 00:00:00")</f>
        <v>45443</v>
      </c>
      <c r="L266" s="4">
        <v>50629.56</v>
      </c>
      <c r="M266" s="4">
        <v>0</v>
      </c>
      <c r="N266" t="s">
        <v>26</v>
      </c>
      <c r="O266" s="4">
        <v>18272.87</v>
      </c>
      <c r="P266" s="4">
        <v>17585.689999999999</v>
      </c>
      <c r="Q266" s="4">
        <v>0</v>
      </c>
      <c r="R266" t="s">
        <v>34</v>
      </c>
      <c r="S266" t="s">
        <v>35</v>
      </c>
    </row>
    <row r="267" spans="1:19" x14ac:dyDescent="0.25">
      <c r="A267" t="s">
        <v>313</v>
      </c>
      <c r="B267" t="s">
        <v>314</v>
      </c>
      <c r="C267" t="s">
        <v>20</v>
      </c>
      <c r="D267" t="s">
        <v>21</v>
      </c>
      <c r="E267" t="s">
        <v>22</v>
      </c>
      <c r="F267" t="s">
        <v>23</v>
      </c>
      <c r="G267" t="s">
        <v>461</v>
      </c>
      <c r="H267" t="s">
        <v>462</v>
      </c>
      <c r="I267" s="3">
        <f>DATEVALUE("2024/02/22 00:00:00")</f>
        <v>45344</v>
      </c>
      <c r="J267" s="3">
        <f>DATEVALUE("2024/05/23 00:00:00")</f>
        <v>45435</v>
      </c>
      <c r="K267" s="3">
        <f>DATEVALUE("2024/05/30 00:00:00")</f>
        <v>45442</v>
      </c>
      <c r="L267" s="4">
        <v>800</v>
      </c>
      <c r="M267" s="4">
        <v>0</v>
      </c>
      <c r="N267" t="s">
        <v>26</v>
      </c>
      <c r="O267" s="4">
        <v>31</v>
      </c>
      <c r="P267" s="4">
        <v>0</v>
      </c>
      <c r="Q267" s="4">
        <v>0</v>
      </c>
      <c r="R267" t="s">
        <v>34</v>
      </c>
      <c r="S267" t="s">
        <v>35</v>
      </c>
    </row>
    <row r="268" spans="1:19" x14ac:dyDescent="0.25">
      <c r="A268" t="s">
        <v>313</v>
      </c>
      <c r="B268" t="s">
        <v>314</v>
      </c>
      <c r="C268" t="s">
        <v>20</v>
      </c>
      <c r="D268" t="s">
        <v>21</v>
      </c>
      <c r="E268" t="s">
        <v>439</v>
      </c>
      <c r="F268" t="s">
        <v>440</v>
      </c>
      <c r="G268" t="s">
        <v>463</v>
      </c>
      <c r="H268" t="s">
        <v>464</v>
      </c>
      <c r="I268" s="3">
        <f>DATEVALUE("2024/03/04 00:00:00")</f>
        <v>45355</v>
      </c>
      <c r="J268" s="3">
        <f>DATEVALUE("2024/07/25 00:00:00")</f>
        <v>45498</v>
      </c>
      <c r="K268" s="3">
        <f>DATEVALUE("2024/07/25 00:00:00")</f>
        <v>45498</v>
      </c>
      <c r="L268" s="4">
        <v>281</v>
      </c>
      <c r="M268" s="4">
        <v>0</v>
      </c>
      <c r="N268" t="s">
        <v>26</v>
      </c>
      <c r="O268" s="4">
        <v>37.5</v>
      </c>
      <c r="P268" s="4">
        <v>39.24</v>
      </c>
      <c r="Q268" s="4">
        <v>0</v>
      </c>
      <c r="R268" t="s">
        <v>34</v>
      </c>
      <c r="S268" t="s">
        <v>35</v>
      </c>
    </row>
    <row r="269" spans="1:19" x14ac:dyDescent="0.25">
      <c r="A269" t="s">
        <v>313</v>
      </c>
      <c r="B269" t="s">
        <v>314</v>
      </c>
      <c r="C269" t="s">
        <v>20</v>
      </c>
      <c r="D269" t="s">
        <v>21</v>
      </c>
      <c r="E269" t="s">
        <v>22</v>
      </c>
      <c r="F269" t="s">
        <v>23</v>
      </c>
      <c r="G269" t="s">
        <v>463</v>
      </c>
      <c r="H269" t="s">
        <v>464</v>
      </c>
      <c r="I269" s="3">
        <f>DATEVALUE("2024/03/04 00:00:00")</f>
        <v>45355</v>
      </c>
      <c r="J269" s="3">
        <f>DATEVALUE("2024/07/12 00:00:00")</f>
        <v>45485</v>
      </c>
      <c r="K269" s="3">
        <f>DATEVALUE("2024/07/19 00:00:00")</f>
        <v>45492</v>
      </c>
      <c r="L269" s="4">
        <v>181563.51999999999</v>
      </c>
      <c r="M269" s="4">
        <v>0</v>
      </c>
      <c r="N269" t="s">
        <v>26</v>
      </c>
      <c r="O269" s="4">
        <v>15333.36</v>
      </c>
      <c r="P269" s="4">
        <v>14299.43</v>
      </c>
      <c r="Q269" s="4">
        <v>0</v>
      </c>
      <c r="R269" t="s">
        <v>34</v>
      </c>
      <c r="S269" t="s">
        <v>35</v>
      </c>
    </row>
    <row r="270" spans="1:19" x14ac:dyDescent="0.25">
      <c r="A270" t="s">
        <v>313</v>
      </c>
      <c r="B270" t="s">
        <v>314</v>
      </c>
      <c r="C270" t="s">
        <v>20</v>
      </c>
      <c r="D270" t="s">
        <v>21</v>
      </c>
      <c r="E270" t="s">
        <v>22</v>
      </c>
      <c r="F270" t="s">
        <v>23</v>
      </c>
      <c r="G270" t="s">
        <v>465</v>
      </c>
      <c r="H270" t="s">
        <v>466</v>
      </c>
      <c r="I270" s="3">
        <f>DATEVALUE("2024/03/04 00:00:00")</f>
        <v>45355</v>
      </c>
      <c r="J270" s="3">
        <f>DATEVALUE("2024/07/30 00:00:00")</f>
        <v>45503</v>
      </c>
      <c r="K270" s="3">
        <f>DATEVALUE("2024/08/07 00:00:00")</f>
        <v>45511</v>
      </c>
      <c r="L270" s="4">
        <v>140850.35999999999</v>
      </c>
      <c r="M270" s="4">
        <v>0</v>
      </c>
      <c r="N270" t="s">
        <v>26</v>
      </c>
      <c r="O270" s="4">
        <v>13701.68</v>
      </c>
      <c r="P270" s="4">
        <v>12932.4</v>
      </c>
      <c r="Q270" s="4">
        <v>0</v>
      </c>
      <c r="R270" t="s">
        <v>34</v>
      </c>
      <c r="S270" t="s">
        <v>35</v>
      </c>
    </row>
    <row r="271" spans="1:19" x14ac:dyDescent="0.25">
      <c r="A271" t="s">
        <v>313</v>
      </c>
      <c r="B271" t="s">
        <v>314</v>
      </c>
      <c r="C271" t="s">
        <v>20</v>
      </c>
      <c r="D271" t="s">
        <v>21</v>
      </c>
      <c r="E271" t="s">
        <v>22</v>
      </c>
      <c r="F271" t="s">
        <v>23</v>
      </c>
      <c r="G271" t="s">
        <v>467</v>
      </c>
      <c r="H271" t="s">
        <v>468</v>
      </c>
      <c r="I271" s="3">
        <f>DATEVALUE("2024/03/12 00:00:00")</f>
        <v>45363</v>
      </c>
      <c r="J271" s="3">
        <f>DATEVALUE("2024/05/29 00:00:00")</f>
        <v>45441</v>
      </c>
      <c r="K271" s="3">
        <f>DATEVALUE("2024/06/07 00:00:00")</f>
        <v>45450</v>
      </c>
      <c r="L271" s="4">
        <v>2400</v>
      </c>
      <c r="M271" s="4">
        <v>0</v>
      </c>
      <c r="N271" t="s">
        <v>26</v>
      </c>
      <c r="O271" s="4">
        <v>90.5</v>
      </c>
      <c r="P271" s="4">
        <v>0</v>
      </c>
      <c r="Q271" s="4">
        <v>0</v>
      </c>
      <c r="R271" t="s">
        <v>34</v>
      </c>
      <c r="S271" t="s">
        <v>35</v>
      </c>
    </row>
    <row r="272" spans="1:19" x14ac:dyDescent="0.25">
      <c r="A272" t="s">
        <v>313</v>
      </c>
      <c r="B272" t="s">
        <v>314</v>
      </c>
      <c r="C272" t="s">
        <v>20</v>
      </c>
      <c r="D272" t="s">
        <v>21</v>
      </c>
      <c r="E272" t="s">
        <v>22</v>
      </c>
      <c r="F272" t="s">
        <v>23</v>
      </c>
      <c r="G272" t="s">
        <v>469</v>
      </c>
      <c r="H272" t="s">
        <v>470</v>
      </c>
      <c r="I272" s="3">
        <f>DATEVALUE("2024/03/22 00:00:00")</f>
        <v>45373</v>
      </c>
      <c r="J272" s="3">
        <f>DATEVALUE("2024/04/26 00:00:00")</f>
        <v>45408</v>
      </c>
      <c r="K272" s="3">
        <f>DATEVALUE("2024/05/02 00:00:00")</f>
        <v>45414</v>
      </c>
      <c r="L272" s="4">
        <v>1600</v>
      </c>
      <c r="M272" s="4">
        <v>0</v>
      </c>
      <c r="N272" t="s">
        <v>26</v>
      </c>
      <c r="O272" s="4">
        <v>10.42</v>
      </c>
      <c r="P272" s="4">
        <v>0</v>
      </c>
      <c r="Q272" s="4">
        <v>0</v>
      </c>
      <c r="R272" t="s">
        <v>34</v>
      </c>
      <c r="S272" t="s">
        <v>35</v>
      </c>
    </row>
    <row r="273" spans="1:19" x14ac:dyDescent="0.25">
      <c r="A273" t="s">
        <v>313</v>
      </c>
      <c r="B273" t="s">
        <v>314</v>
      </c>
      <c r="C273" t="s">
        <v>20</v>
      </c>
      <c r="D273" t="s">
        <v>21</v>
      </c>
      <c r="E273" t="s">
        <v>453</v>
      </c>
      <c r="F273" t="s">
        <v>454</v>
      </c>
      <c r="G273" t="s">
        <v>471</v>
      </c>
      <c r="H273" t="s">
        <v>472</v>
      </c>
      <c r="I273" s="3">
        <f>DATEVALUE("2024/04/24 00:00:00")</f>
        <v>45406</v>
      </c>
      <c r="J273" s="3">
        <f>DATEVALUE("2024/06/15 00:00:00")</f>
        <v>45458</v>
      </c>
      <c r="K273" s="3">
        <f>DATEVALUE("2024/06/22 00:00:00")</f>
        <v>45465</v>
      </c>
      <c r="L273" s="4">
        <v>69.12</v>
      </c>
      <c r="M273" s="4">
        <v>0</v>
      </c>
      <c r="N273" t="s">
        <v>26</v>
      </c>
      <c r="O273" s="4">
        <v>5.36</v>
      </c>
      <c r="P273" s="4">
        <v>5.29</v>
      </c>
      <c r="Q273" s="4">
        <v>0</v>
      </c>
      <c r="R273" t="s">
        <v>34</v>
      </c>
      <c r="S273" t="s">
        <v>35</v>
      </c>
    </row>
    <row r="274" spans="1:19" x14ac:dyDescent="0.25">
      <c r="A274" t="s">
        <v>313</v>
      </c>
      <c r="B274" t="s">
        <v>314</v>
      </c>
      <c r="C274" t="s">
        <v>20</v>
      </c>
      <c r="D274" t="s">
        <v>21</v>
      </c>
      <c r="E274" t="s">
        <v>439</v>
      </c>
      <c r="F274" t="s">
        <v>440</v>
      </c>
      <c r="G274" t="s">
        <v>471</v>
      </c>
      <c r="H274" t="s">
        <v>472</v>
      </c>
      <c r="I274" s="3">
        <f>DATEVALUE("2024/04/24 00:00:00")</f>
        <v>45406</v>
      </c>
      <c r="J274" s="3">
        <f>DATEVALUE("2024/06/15 00:00:00")</f>
        <v>45458</v>
      </c>
      <c r="K274" s="3">
        <f>DATEVALUE("2024/06/22 00:00:00")</f>
        <v>45465</v>
      </c>
      <c r="L274" s="4">
        <v>425.52</v>
      </c>
      <c r="M274" s="4">
        <v>0</v>
      </c>
      <c r="N274" t="s">
        <v>26</v>
      </c>
      <c r="O274" s="4">
        <v>45.84</v>
      </c>
      <c r="P274" s="4">
        <v>45.89</v>
      </c>
      <c r="Q274" s="4">
        <v>0</v>
      </c>
      <c r="R274" t="s">
        <v>34</v>
      </c>
      <c r="S274" t="s">
        <v>35</v>
      </c>
    </row>
    <row r="275" spans="1:19" x14ac:dyDescent="0.25">
      <c r="A275" t="s">
        <v>313</v>
      </c>
      <c r="B275" t="s">
        <v>314</v>
      </c>
      <c r="C275" t="s">
        <v>20</v>
      </c>
      <c r="D275" t="s">
        <v>21</v>
      </c>
      <c r="E275" t="s">
        <v>22</v>
      </c>
      <c r="F275" t="s">
        <v>23</v>
      </c>
      <c r="G275" t="s">
        <v>473</v>
      </c>
      <c r="H275" t="s">
        <v>474</v>
      </c>
      <c r="I275" s="3">
        <f>DATEVALUE("2024/05/09 00:00:00")</f>
        <v>45421</v>
      </c>
      <c r="J275" s="3">
        <f>DATEVALUE("2024/09/20 00:00:00")</f>
        <v>45555</v>
      </c>
      <c r="K275" s="3">
        <f>DATEVALUE("2024/09/27 00:00:00")</f>
        <v>45562</v>
      </c>
      <c r="L275" s="4">
        <v>154635.64000000001</v>
      </c>
      <c r="M275" s="4">
        <v>0</v>
      </c>
      <c r="N275" t="s">
        <v>26</v>
      </c>
      <c r="O275" s="4">
        <v>15588.07</v>
      </c>
      <c r="P275" s="4">
        <v>14615.49</v>
      </c>
      <c r="Q275" s="4">
        <v>0</v>
      </c>
      <c r="R275" t="s">
        <v>34</v>
      </c>
      <c r="S275" t="s">
        <v>35</v>
      </c>
    </row>
    <row r="276" spans="1:19" x14ac:dyDescent="0.25">
      <c r="A276" t="s">
        <v>313</v>
      </c>
      <c r="B276" t="s">
        <v>314</v>
      </c>
      <c r="C276" t="s">
        <v>20</v>
      </c>
      <c r="D276" t="s">
        <v>21</v>
      </c>
      <c r="E276" t="s">
        <v>439</v>
      </c>
      <c r="F276" t="s">
        <v>440</v>
      </c>
      <c r="G276" t="s">
        <v>473</v>
      </c>
      <c r="H276" t="s">
        <v>474</v>
      </c>
      <c r="I276" s="3">
        <f>DATEVALUE("2024/05/09 00:00:00")</f>
        <v>45421</v>
      </c>
      <c r="J276" s="3">
        <f>DATEVALUE("2024/08/14 00:00:00")</f>
        <v>45518</v>
      </c>
      <c r="K276" s="3">
        <f>DATEVALUE("2024/09/27 00:00:00")</f>
        <v>45562</v>
      </c>
      <c r="L276" s="4">
        <v>54</v>
      </c>
      <c r="M276" s="4">
        <v>0</v>
      </c>
      <c r="N276" t="s">
        <v>26</v>
      </c>
      <c r="O276" s="4">
        <v>4.5</v>
      </c>
      <c r="P276" s="4">
        <v>4.5</v>
      </c>
      <c r="Q276" s="4">
        <v>0</v>
      </c>
      <c r="R276" t="s">
        <v>34</v>
      </c>
      <c r="S276" t="s">
        <v>35</v>
      </c>
    </row>
    <row r="277" spans="1:19" x14ac:dyDescent="0.25">
      <c r="A277" t="s">
        <v>313</v>
      </c>
      <c r="B277" t="s">
        <v>314</v>
      </c>
      <c r="C277" t="s">
        <v>20</v>
      </c>
      <c r="D277" t="s">
        <v>21</v>
      </c>
      <c r="E277" t="s">
        <v>439</v>
      </c>
      <c r="F277" t="s">
        <v>440</v>
      </c>
      <c r="G277" t="s">
        <v>473</v>
      </c>
      <c r="H277" t="s">
        <v>474</v>
      </c>
      <c r="I277" s="3">
        <f>DATEVALUE("2024/05/09 00:00:00")</f>
        <v>45421</v>
      </c>
      <c r="J277" s="3">
        <f>DATEVALUE("2024/08/08 00:00:00")</f>
        <v>45512</v>
      </c>
      <c r="K277" s="3">
        <f>DATEVALUE("2024/08/08 00:00:00")</f>
        <v>45512</v>
      </c>
      <c r="L277" s="4">
        <v>184</v>
      </c>
      <c r="M277" s="4">
        <v>0</v>
      </c>
      <c r="N277" t="s">
        <v>26</v>
      </c>
      <c r="O277" s="4">
        <v>18.3</v>
      </c>
      <c r="P277" s="4">
        <v>18.3</v>
      </c>
      <c r="Q277" s="4">
        <v>0</v>
      </c>
      <c r="R277" t="s">
        <v>34</v>
      </c>
      <c r="S277" t="s">
        <v>35</v>
      </c>
    </row>
    <row r="278" spans="1:19" x14ac:dyDescent="0.25">
      <c r="A278" t="s">
        <v>313</v>
      </c>
      <c r="B278" t="s">
        <v>314</v>
      </c>
      <c r="C278" t="s">
        <v>20</v>
      </c>
      <c r="D278" t="s">
        <v>21</v>
      </c>
      <c r="E278" t="s">
        <v>22</v>
      </c>
      <c r="F278" t="s">
        <v>23</v>
      </c>
      <c r="G278" t="s">
        <v>475</v>
      </c>
      <c r="H278" t="s">
        <v>476</v>
      </c>
      <c r="I278" s="3">
        <f>DATEVALUE("2024/05/09 00:00:00")</f>
        <v>45421</v>
      </c>
      <c r="J278" s="3">
        <f>DATEVALUE("2024/10/11 00:00:00")</f>
        <v>45576</v>
      </c>
      <c r="K278" s="3">
        <f>DATEVALUE("2024/10/17 00:00:00")</f>
        <v>45582</v>
      </c>
      <c r="L278" s="4">
        <v>136633.44</v>
      </c>
      <c r="M278" s="4">
        <v>0</v>
      </c>
      <c r="N278" t="s">
        <v>26</v>
      </c>
      <c r="O278" s="4">
        <v>15409.2</v>
      </c>
      <c r="P278" s="4">
        <v>14090.64</v>
      </c>
      <c r="Q278" s="4">
        <v>0</v>
      </c>
      <c r="R278" t="s">
        <v>34</v>
      </c>
      <c r="S278" t="s">
        <v>35</v>
      </c>
    </row>
    <row r="279" spans="1:19" x14ac:dyDescent="0.25">
      <c r="A279" t="s">
        <v>313</v>
      </c>
      <c r="B279" t="s">
        <v>314</v>
      </c>
      <c r="C279" t="s">
        <v>20</v>
      </c>
      <c r="D279" t="s">
        <v>21</v>
      </c>
      <c r="E279" t="s">
        <v>22</v>
      </c>
      <c r="F279" t="s">
        <v>23</v>
      </c>
      <c r="G279" t="s">
        <v>477</v>
      </c>
      <c r="H279" t="s">
        <v>478</v>
      </c>
      <c r="I279" s="3">
        <f>DATEVALUE("2024/07/11 00:00:00")</f>
        <v>45484</v>
      </c>
      <c r="J279" s="3">
        <f>DATEVALUE("2024/10/11 00:00:00")</f>
        <v>45576</v>
      </c>
      <c r="K279" s="3">
        <f>DATEVALUE("2024/10/25 00:00:00")</f>
        <v>45590</v>
      </c>
      <c r="L279" s="4">
        <v>48168.959999999999</v>
      </c>
      <c r="M279" s="4">
        <v>48168.959999999999</v>
      </c>
      <c r="N279" t="s">
        <v>26</v>
      </c>
      <c r="O279" s="4">
        <v>20443.39</v>
      </c>
      <c r="P279" s="4">
        <v>0</v>
      </c>
      <c r="Q279" s="4">
        <v>20443.39</v>
      </c>
      <c r="R279" t="s">
        <v>27</v>
      </c>
      <c r="S279" t="s">
        <v>1</v>
      </c>
    </row>
    <row r="280" spans="1:19" x14ac:dyDescent="0.25">
      <c r="A280" t="s">
        <v>313</v>
      </c>
      <c r="B280" t="s">
        <v>314</v>
      </c>
      <c r="C280" t="s">
        <v>20</v>
      </c>
      <c r="D280" t="s">
        <v>21</v>
      </c>
      <c r="E280" t="s">
        <v>439</v>
      </c>
      <c r="F280" t="s">
        <v>440</v>
      </c>
      <c r="G280" t="s">
        <v>477</v>
      </c>
      <c r="H280" t="s">
        <v>478</v>
      </c>
      <c r="I280" s="3">
        <f>DATEVALUE("2024/07/11 00:00:00")</f>
        <v>45484</v>
      </c>
      <c r="J280" s="3">
        <f>DATEVALUE("2024/11/07 00:00:00")</f>
        <v>45603</v>
      </c>
      <c r="K280" s="3">
        <f>DATEVALUE("2024/11/13 00:00:00")</f>
        <v>45609</v>
      </c>
      <c r="L280" s="4">
        <v>130</v>
      </c>
      <c r="M280" s="4">
        <v>130</v>
      </c>
      <c r="N280" t="s">
        <v>26</v>
      </c>
      <c r="O280" s="4">
        <v>9</v>
      </c>
      <c r="P280" s="4">
        <v>0</v>
      </c>
      <c r="Q280" s="4">
        <v>9</v>
      </c>
      <c r="R280" t="s">
        <v>27</v>
      </c>
      <c r="S280" t="s">
        <v>1</v>
      </c>
    </row>
    <row r="281" spans="1:19" x14ac:dyDescent="0.25">
      <c r="A281" t="s">
        <v>313</v>
      </c>
      <c r="B281" t="s">
        <v>314</v>
      </c>
      <c r="C281" t="s">
        <v>20</v>
      </c>
      <c r="D281" t="s">
        <v>21</v>
      </c>
      <c r="E281" t="s">
        <v>22</v>
      </c>
      <c r="F281" t="s">
        <v>23</v>
      </c>
      <c r="G281" t="s">
        <v>479</v>
      </c>
      <c r="H281" t="s">
        <v>480</v>
      </c>
      <c r="I281" s="3">
        <f>DATEVALUE("2024/08/08 00:00:00")</f>
        <v>45512</v>
      </c>
      <c r="J281" s="3">
        <f>DATEVALUE("2024/12/03 00:00:00")</f>
        <v>45629</v>
      </c>
      <c r="K281" s="3">
        <f>DATEVALUE("2024/12/10 00:00:00")</f>
        <v>45636</v>
      </c>
      <c r="L281" s="4">
        <v>69424</v>
      </c>
      <c r="M281" s="4">
        <v>69424</v>
      </c>
      <c r="N281" t="s">
        <v>26</v>
      </c>
      <c r="O281" s="4">
        <v>19324.419999999998</v>
      </c>
      <c r="P281" s="4">
        <v>0</v>
      </c>
      <c r="Q281" s="4">
        <v>19324.419999999998</v>
      </c>
      <c r="R281" t="s">
        <v>27</v>
      </c>
      <c r="S281" t="s">
        <v>1</v>
      </c>
    </row>
    <row r="282" spans="1:19" x14ac:dyDescent="0.25">
      <c r="A282" t="s">
        <v>313</v>
      </c>
      <c r="B282" t="s">
        <v>314</v>
      </c>
      <c r="C282" t="s">
        <v>20</v>
      </c>
      <c r="D282" t="s">
        <v>21</v>
      </c>
      <c r="E282" t="s">
        <v>439</v>
      </c>
      <c r="F282" t="s">
        <v>440</v>
      </c>
      <c r="G282" t="s">
        <v>481</v>
      </c>
      <c r="H282" t="s">
        <v>482</v>
      </c>
      <c r="I282" s="3">
        <f>DATEVALUE("2024/09/25 00:00:00")</f>
        <v>45560</v>
      </c>
      <c r="J282" s="3">
        <f>DATEVALUE("2024/09/25 00:00:00")</f>
        <v>45560</v>
      </c>
      <c r="K282" s="3">
        <f>DATEVALUE("2024/09/26 00:00:00")</f>
        <v>45561</v>
      </c>
      <c r="L282" s="4">
        <v>64</v>
      </c>
      <c r="M282" s="4">
        <v>0</v>
      </c>
      <c r="N282" t="s">
        <v>26</v>
      </c>
      <c r="O282" s="4">
        <v>1.1000000000000001</v>
      </c>
      <c r="P282" s="4">
        <v>1.1000000000000001</v>
      </c>
      <c r="Q282" s="4">
        <v>0</v>
      </c>
      <c r="R282" t="s">
        <v>34</v>
      </c>
      <c r="S282" t="s">
        <v>35</v>
      </c>
    </row>
    <row r="283" spans="1:19" x14ac:dyDescent="0.25">
      <c r="A283" t="s">
        <v>483</v>
      </c>
      <c r="B283" t="s">
        <v>484</v>
      </c>
      <c r="C283" t="s">
        <v>106</v>
      </c>
      <c r="D283" t="s">
        <v>107</v>
      </c>
      <c r="E283" t="s">
        <v>22</v>
      </c>
      <c r="F283" t="s">
        <v>23</v>
      </c>
      <c r="G283" t="s">
        <v>485</v>
      </c>
      <c r="H283" t="s">
        <v>486</v>
      </c>
      <c r="I283" s="3">
        <f>DATEVALUE("2024/03/04 00:00:00")</f>
        <v>45355</v>
      </c>
      <c r="J283" s="3">
        <f>DATEVALUE("2024/05/16 00:00:00")</f>
        <v>45428</v>
      </c>
      <c r="K283" s="3">
        <f>DATEVALUE("2024/05/23 00:00:00")</f>
        <v>45435</v>
      </c>
      <c r="L283" s="4">
        <v>9103.5</v>
      </c>
      <c r="M283" s="4">
        <v>0</v>
      </c>
      <c r="N283" t="s">
        <v>64</v>
      </c>
      <c r="O283" s="4">
        <v>5101</v>
      </c>
      <c r="P283" s="4">
        <v>5259.5</v>
      </c>
      <c r="Q283" s="4">
        <v>0</v>
      </c>
      <c r="R283" t="s">
        <v>34</v>
      </c>
      <c r="S283" t="s">
        <v>35</v>
      </c>
    </row>
    <row r="284" spans="1:19" x14ac:dyDescent="0.25">
      <c r="A284" t="s">
        <v>483</v>
      </c>
      <c r="B284" t="s">
        <v>484</v>
      </c>
      <c r="C284" t="s">
        <v>106</v>
      </c>
      <c r="D284" t="s">
        <v>107</v>
      </c>
      <c r="E284" t="s">
        <v>22</v>
      </c>
      <c r="F284" t="s">
        <v>23</v>
      </c>
      <c r="G284" t="s">
        <v>487</v>
      </c>
      <c r="H284" t="s">
        <v>488</v>
      </c>
      <c r="I284" s="3">
        <f>DATEVALUE("2024/03/05 00:00:00")</f>
        <v>45356</v>
      </c>
      <c r="J284" s="3">
        <f>DATEVALUE("2024/05/27 00:00:00")</f>
        <v>45439</v>
      </c>
      <c r="K284" s="3">
        <f>DATEVALUE("2024/06/03 00:00:00")</f>
        <v>45446</v>
      </c>
      <c r="L284" s="4">
        <v>625.29999999999995</v>
      </c>
      <c r="M284" s="4">
        <v>0</v>
      </c>
      <c r="N284" t="s">
        <v>64</v>
      </c>
      <c r="O284" s="4">
        <v>348.4</v>
      </c>
      <c r="P284" s="4">
        <v>348.27</v>
      </c>
      <c r="Q284" s="4">
        <v>0</v>
      </c>
      <c r="R284" t="s">
        <v>34</v>
      </c>
      <c r="S284" t="s">
        <v>35</v>
      </c>
    </row>
    <row r="285" spans="1:19" x14ac:dyDescent="0.25">
      <c r="A285" t="s">
        <v>483</v>
      </c>
      <c r="B285" t="s">
        <v>484</v>
      </c>
      <c r="C285" t="s">
        <v>60</v>
      </c>
      <c r="D285" t="s">
        <v>61</v>
      </c>
      <c r="E285" t="s">
        <v>22</v>
      </c>
      <c r="F285" t="s">
        <v>23</v>
      </c>
      <c r="G285" t="s">
        <v>489</v>
      </c>
      <c r="H285" t="s">
        <v>490</v>
      </c>
      <c r="I285" s="3">
        <f>DATEVALUE("2024/03/01 00:00:00")</f>
        <v>45352</v>
      </c>
      <c r="J285" s="3">
        <f>DATEVALUE("2024/06/17 00:00:00")</f>
        <v>45460</v>
      </c>
      <c r="K285" s="3">
        <f>DATEVALUE("2024/06/17 00:00:00")</f>
        <v>45460</v>
      </c>
      <c r="L285" s="4">
        <v>101753.4</v>
      </c>
      <c r="M285" s="4">
        <v>0</v>
      </c>
      <c r="N285" t="s">
        <v>64</v>
      </c>
      <c r="O285" s="4">
        <v>51263.76</v>
      </c>
      <c r="P285" s="4">
        <v>51267.86</v>
      </c>
      <c r="Q285" s="4">
        <v>0</v>
      </c>
      <c r="R285" t="s">
        <v>34</v>
      </c>
      <c r="S285" t="s">
        <v>35</v>
      </c>
    </row>
    <row r="286" spans="1:19" x14ac:dyDescent="0.25">
      <c r="A286" t="s">
        <v>483</v>
      </c>
      <c r="B286" t="s">
        <v>484</v>
      </c>
      <c r="C286" t="s">
        <v>60</v>
      </c>
      <c r="D286" t="s">
        <v>61</v>
      </c>
      <c r="E286" t="s">
        <v>22</v>
      </c>
      <c r="F286" t="s">
        <v>23</v>
      </c>
      <c r="G286" t="s">
        <v>491</v>
      </c>
      <c r="H286" t="s">
        <v>492</v>
      </c>
      <c r="I286" s="3">
        <f>DATEVALUE("2024/03/05 00:00:00")</f>
        <v>45356</v>
      </c>
      <c r="J286" s="3">
        <f>DATEVALUE("2024/05/29 00:00:00")</f>
        <v>45441</v>
      </c>
      <c r="K286" s="3">
        <f>DATEVALUE("2024/06/05 00:00:00")</f>
        <v>45448</v>
      </c>
      <c r="L286" s="4">
        <v>10772.76</v>
      </c>
      <c r="M286" s="4">
        <v>0</v>
      </c>
      <c r="N286" t="s">
        <v>64</v>
      </c>
      <c r="O286" s="4">
        <v>5257.67</v>
      </c>
      <c r="P286" s="4">
        <v>5449.31</v>
      </c>
      <c r="Q286" s="4">
        <v>0</v>
      </c>
      <c r="R286" t="s">
        <v>34</v>
      </c>
      <c r="S286" t="s">
        <v>35</v>
      </c>
    </row>
    <row r="287" spans="1:19" x14ac:dyDescent="0.25">
      <c r="A287" t="s">
        <v>483</v>
      </c>
      <c r="B287" t="s">
        <v>484</v>
      </c>
      <c r="C287" t="s">
        <v>60</v>
      </c>
      <c r="D287" t="s">
        <v>61</v>
      </c>
      <c r="E287" t="s">
        <v>22</v>
      </c>
      <c r="F287" t="s">
        <v>23</v>
      </c>
      <c r="G287" t="s">
        <v>493</v>
      </c>
      <c r="H287" t="s">
        <v>494</v>
      </c>
      <c r="I287" s="3">
        <f>DATEVALUE("2024/03/11 00:00:00")</f>
        <v>45362</v>
      </c>
      <c r="J287" s="3">
        <f>DATEVALUE("2024/06/11 00:00:00")</f>
        <v>45454</v>
      </c>
      <c r="K287" s="3">
        <f>DATEVALUE("2024/06/18 00:00:00")</f>
        <v>45461</v>
      </c>
      <c r="L287" s="4">
        <v>9415.2000000000007</v>
      </c>
      <c r="M287" s="4">
        <v>0</v>
      </c>
      <c r="N287" t="s">
        <v>64</v>
      </c>
      <c r="O287" s="4">
        <v>4383</v>
      </c>
      <c r="P287" s="4">
        <v>4367.47</v>
      </c>
      <c r="Q287" s="4">
        <v>0</v>
      </c>
      <c r="R287" t="s">
        <v>34</v>
      </c>
      <c r="S287" t="s">
        <v>35</v>
      </c>
    </row>
    <row r="288" spans="1:19" x14ac:dyDescent="0.25">
      <c r="A288" t="s">
        <v>483</v>
      </c>
      <c r="B288" t="s">
        <v>484</v>
      </c>
      <c r="C288" t="s">
        <v>60</v>
      </c>
      <c r="D288" t="s">
        <v>61</v>
      </c>
      <c r="E288" t="s">
        <v>22</v>
      </c>
      <c r="F288" t="s">
        <v>23</v>
      </c>
      <c r="G288" t="s">
        <v>493</v>
      </c>
      <c r="H288" t="s">
        <v>494</v>
      </c>
      <c r="I288" s="3">
        <f>DATEVALUE("2024/03/11 00:00:00")</f>
        <v>45362</v>
      </c>
      <c r="J288" s="3">
        <f>DATEVALUE("2024/05/30 00:00:00")</f>
        <v>45442</v>
      </c>
      <c r="K288" s="3">
        <f>DATEVALUE("2024/06/07 00:00:00")</f>
        <v>45450</v>
      </c>
      <c r="L288" s="4">
        <v>18112.8</v>
      </c>
      <c r="M288" s="4">
        <v>0</v>
      </c>
      <c r="N288" t="s">
        <v>64</v>
      </c>
      <c r="O288" s="4">
        <v>8353.7999999999993</v>
      </c>
      <c r="P288" s="4">
        <v>8415.3700000000008</v>
      </c>
      <c r="Q288" s="4">
        <v>0</v>
      </c>
      <c r="R288" t="s">
        <v>34</v>
      </c>
      <c r="S288" t="s">
        <v>35</v>
      </c>
    </row>
    <row r="289" spans="1:19" x14ac:dyDescent="0.25">
      <c r="A289" t="s">
        <v>495</v>
      </c>
      <c r="B289" t="s">
        <v>496</v>
      </c>
      <c r="C289" t="s">
        <v>106</v>
      </c>
      <c r="D289" t="s">
        <v>107</v>
      </c>
      <c r="E289" t="s">
        <v>22</v>
      </c>
      <c r="F289" t="s">
        <v>23</v>
      </c>
      <c r="G289" t="s">
        <v>497</v>
      </c>
      <c r="H289" t="s">
        <v>498</v>
      </c>
      <c r="I289" s="3">
        <f>DATEVALUE("2024/03/27 00:00:00")</f>
        <v>45378</v>
      </c>
      <c r="J289" s="3">
        <f>DATEVALUE("2024/06/28 00:00:00")</f>
        <v>45471</v>
      </c>
      <c r="K289" s="3">
        <f>DATEVALUE("2024/07/05 00:00:00")</f>
        <v>45478</v>
      </c>
      <c r="L289" s="4">
        <v>75848.34</v>
      </c>
      <c r="M289" s="4">
        <v>0</v>
      </c>
      <c r="N289" t="s">
        <v>64</v>
      </c>
      <c r="O289" s="4">
        <v>40969.78</v>
      </c>
      <c r="P289" s="4">
        <v>41891.589999999997</v>
      </c>
      <c r="Q289" s="4">
        <v>0</v>
      </c>
      <c r="R289" t="s">
        <v>34</v>
      </c>
      <c r="S289" t="s">
        <v>35</v>
      </c>
    </row>
    <row r="290" spans="1:19" x14ac:dyDescent="0.25">
      <c r="A290" t="s">
        <v>495</v>
      </c>
      <c r="B290" t="s">
        <v>496</v>
      </c>
      <c r="C290" t="s">
        <v>106</v>
      </c>
      <c r="D290" t="s">
        <v>107</v>
      </c>
      <c r="E290" t="s">
        <v>22</v>
      </c>
      <c r="F290" t="s">
        <v>23</v>
      </c>
      <c r="G290" t="s">
        <v>497</v>
      </c>
      <c r="H290" t="s">
        <v>498</v>
      </c>
      <c r="I290" s="3">
        <f>DATEVALUE("2024/03/27 00:00:00")</f>
        <v>45378</v>
      </c>
      <c r="J290" s="3">
        <f>DATEVALUE("2024/07/19 00:00:00")</f>
        <v>45492</v>
      </c>
      <c r="K290" s="3">
        <f>DATEVALUE("2024/07/05 00:00:00")</f>
        <v>45478</v>
      </c>
      <c r="L290" s="4">
        <v>2471.04</v>
      </c>
      <c r="M290" s="4">
        <v>0</v>
      </c>
      <c r="N290" t="s">
        <v>64</v>
      </c>
      <c r="O290" s="4">
        <v>1209.5999999999999</v>
      </c>
      <c r="P290" s="4">
        <v>1229.0999999999999</v>
      </c>
      <c r="Q290" s="4">
        <v>0</v>
      </c>
      <c r="R290" t="s">
        <v>34</v>
      </c>
      <c r="S290" t="s">
        <v>35</v>
      </c>
    </row>
    <row r="291" spans="1:19" x14ac:dyDescent="0.25">
      <c r="A291" t="s">
        <v>495</v>
      </c>
      <c r="B291" t="s">
        <v>496</v>
      </c>
      <c r="C291" t="s">
        <v>106</v>
      </c>
      <c r="D291" t="s">
        <v>107</v>
      </c>
      <c r="E291" t="s">
        <v>22</v>
      </c>
      <c r="F291" t="s">
        <v>23</v>
      </c>
      <c r="G291" t="s">
        <v>499</v>
      </c>
      <c r="H291" t="s">
        <v>500</v>
      </c>
      <c r="I291" s="3">
        <f>DATEVALUE("2024/04/02 00:00:00")</f>
        <v>45384</v>
      </c>
      <c r="J291" s="3">
        <f>DATEVALUE("2024/06/14 00:00:00")</f>
        <v>45457</v>
      </c>
      <c r="K291" s="3">
        <f>DATEVALUE("2024/06/07 00:00:00")</f>
        <v>45450</v>
      </c>
      <c r="L291" s="4">
        <v>28148.04</v>
      </c>
      <c r="M291" s="4">
        <v>0</v>
      </c>
      <c r="N291" t="s">
        <v>64</v>
      </c>
      <c r="O291" s="4">
        <v>8413.4</v>
      </c>
      <c r="P291" s="4">
        <v>8481.58</v>
      </c>
      <c r="Q291" s="4">
        <v>0</v>
      </c>
      <c r="R291" t="s">
        <v>34</v>
      </c>
      <c r="S291" t="s">
        <v>35</v>
      </c>
    </row>
    <row r="292" spans="1:19" x14ac:dyDescent="0.25">
      <c r="A292" t="s">
        <v>495</v>
      </c>
      <c r="B292" t="s">
        <v>496</v>
      </c>
      <c r="C292" t="s">
        <v>60</v>
      </c>
      <c r="D292" t="s">
        <v>61</v>
      </c>
      <c r="E292" t="s">
        <v>22</v>
      </c>
      <c r="F292" t="s">
        <v>23</v>
      </c>
      <c r="G292" t="s">
        <v>501</v>
      </c>
      <c r="H292" t="s">
        <v>502</v>
      </c>
      <c r="I292" s="3">
        <f>DATEVALUE("2024/03/22 00:00:00")</f>
        <v>45373</v>
      </c>
      <c r="J292" s="3">
        <f>DATEVALUE("2024/08/07 00:00:00")</f>
        <v>45511</v>
      </c>
      <c r="K292" s="3">
        <f>DATEVALUE("2024/08/14 00:00:00")</f>
        <v>45518</v>
      </c>
      <c r="L292" s="4">
        <v>32143.200000000001</v>
      </c>
      <c r="M292" s="4">
        <v>0</v>
      </c>
      <c r="N292" t="s">
        <v>64</v>
      </c>
      <c r="O292" s="4">
        <v>16588.64</v>
      </c>
      <c r="P292" s="4">
        <v>17097.04</v>
      </c>
      <c r="Q292" s="4">
        <v>0</v>
      </c>
      <c r="R292" t="s">
        <v>34</v>
      </c>
      <c r="S292" t="s">
        <v>35</v>
      </c>
    </row>
    <row r="293" spans="1:19" x14ac:dyDescent="0.25">
      <c r="A293" t="s">
        <v>495</v>
      </c>
      <c r="B293" t="s">
        <v>496</v>
      </c>
      <c r="C293" t="s">
        <v>60</v>
      </c>
      <c r="D293" t="s">
        <v>61</v>
      </c>
      <c r="E293" t="s">
        <v>22</v>
      </c>
      <c r="F293" t="s">
        <v>23</v>
      </c>
      <c r="G293" t="s">
        <v>503</v>
      </c>
      <c r="H293" t="s">
        <v>504</v>
      </c>
      <c r="I293" s="3">
        <f>DATEVALUE("2024/04/10 00:00:00")</f>
        <v>45392</v>
      </c>
      <c r="J293" s="3">
        <f>DATEVALUE("2024/09/13 00:00:00")</f>
        <v>45548</v>
      </c>
      <c r="K293" s="3">
        <f>DATEVALUE("2024/09/20 00:00:00")</f>
        <v>45555</v>
      </c>
      <c r="L293" s="4">
        <v>2376</v>
      </c>
      <c r="M293" s="4">
        <v>0</v>
      </c>
      <c r="N293" t="s">
        <v>64</v>
      </c>
      <c r="O293" s="4">
        <v>1555.2</v>
      </c>
      <c r="P293" s="4">
        <v>1606.74</v>
      </c>
      <c r="Q293" s="4">
        <v>0</v>
      </c>
      <c r="R293" t="s">
        <v>34</v>
      </c>
      <c r="S293" t="s">
        <v>35</v>
      </c>
    </row>
    <row r="294" spans="1:19" x14ac:dyDescent="0.25">
      <c r="A294" t="s">
        <v>495</v>
      </c>
      <c r="B294" t="s">
        <v>496</v>
      </c>
      <c r="C294" t="s">
        <v>60</v>
      </c>
      <c r="D294" t="s">
        <v>61</v>
      </c>
      <c r="E294" t="s">
        <v>22</v>
      </c>
      <c r="F294" t="s">
        <v>23</v>
      </c>
      <c r="G294" t="s">
        <v>505</v>
      </c>
      <c r="H294" t="s">
        <v>506</v>
      </c>
      <c r="I294" s="3">
        <f>DATEVALUE("2024/04/15 00:00:00")</f>
        <v>45397</v>
      </c>
      <c r="J294" s="3">
        <f>DATEVALUE("2024/11/01 00:00:00")</f>
        <v>45597</v>
      </c>
      <c r="K294" s="3">
        <f>DATEVALUE("2024/11/08 00:00:00")</f>
        <v>45604</v>
      </c>
      <c r="L294" s="4">
        <v>22605.3</v>
      </c>
      <c r="M294" s="4">
        <v>0</v>
      </c>
      <c r="N294" t="s">
        <v>64</v>
      </c>
      <c r="O294" s="4">
        <v>9935.73</v>
      </c>
      <c r="P294" s="4">
        <v>9963.66</v>
      </c>
      <c r="Q294" s="4">
        <v>0</v>
      </c>
      <c r="R294" t="s">
        <v>34</v>
      </c>
      <c r="S294" t="s">
        <v>35</v>
      </c>
    </row>
    <row r="295" spans="1:19" x14ac:dyDescent="0.25">
      <c r="A295" t="s">
        <v>495</v>
      </c>
      <c r="B295" t="s">
        <v>496</v>
      </c>
      <c r="C295" t="s">
        <v>60</v>
      </c>
      <c r="D295" t="s">
        <v>61</v>
      </c>
      <c r="E295" t="s">
        <v>22</v>
      </c>
      <c r="F295" t="s">
        <v>23</v>
      </c>
      <c r="G295" t="s">
        <v>507</v>
      </c>
      <c r="H295" t="s">
        <v>508</v>
      </c>
      <c r="I295" s="3">
        <f>DATEVALUE("2024/04/18 00:00:00")</f>
        <v>45400</v>
      </c>
      <c r="J295" s="3">
        <f>DATEVALUE("2024/07/30 00:00:00")</f>
        <v>45503</v>
      </c>
      <c r="K295" s="3">
        <f>DATEVALUE("2024/07/26 00:00:00")</f>
        <v>45499</v>
      </c>
      <c r="L295" s="4">
        <v>630</v>
      </c>
      <c r="M295" s="4">
        <v>0</v>
      </c>
      <c r="N295" t="s">
        <v>64</v>
      </c>
      <c r="O295" s="4">
        <v>360</v>
      </c>
      <c r="P295" s="4">
        <v>364.98</v>
      </c>
      <c r="Q295" s="4">
        <v>0</v>
      </c>
      <c r="R295" t="s">
        <v>34</v>
      </c>
      <c r="S295" t="s">
        <v>35</v>
      </c>
    </row>
    <row r="296" spans="1:19" x14ac:dyDescent="0.25">
      <c r="A296" t="s">
        <v>495</v>
      </c>
      <c r="B296" t="s">
        <v>496</v>
      </c>
      <c r="C296" t="s">
        <v>60</v>
      </c>
      <c r="D296" t="s">
        <v>61</v>
      </c>
      <c r="E296" t="s">
        <v>22</v>
      </c>
      <c r="F296" t="s">
        <v>23</v>
      </c>
      <c r="G296" t="s">
        <v>509</v>
      </c>
      <c r="H296" t="s">
        <v>510</v>
      </c>
      <c r="I296" s="3">
        <f>DATEVALUE("2024/05/03 00:00:00")</f>
        <v>45415</v>
      </c>
      <c r="J296" s="3">
        <f>DATEVALUE("2024/07/19 00:00:00")</f>
        <v>45492</v>
      </c>
      <c r="K296" s="3">
        <f>DATEVALUE("2024/07/26 00:00:00")</f>
        <v>45499</v>
      </c>
      <c r="L296" s="4">
        <v>7210.2</v>
      </c>
      <c r="M296" s="4">
        <v>0</v>
      </c>
      <c r="N296" t="s">
        <v>64</v>
      </c>
      <c r="O296" s="4">
        <v>3566.43</v>
      </c>
      <c r="P296" s="4">
        <v>3552.38</v>
      </c>
      <c r="Q296" s="4">
        <v>0</v>
      </c>
      <c r="R296" t="s">
        <v>34</v>
      </c>
      <c r="S296" t="s">
        <v>35</v>
      </c>
    </row>
    <row r="297" spans="1:19" x14ac:dyDescent="0.25">
      <c r="A297" t="s">
        <v>495</v>
      </c>
      <c r="B297" t="s">
        <v>496</v>
      </c>
      <c r="C297" t="s">
        <v>60</v>
      </c>
      <c r="D297" t="s">
        <v>61</v>
      </c>
      <c r="E297" t="s">
        <v>22</v>
      </c>
      <c r="F297" t="s">
        <v>23</v>
      </c>
      <c r="G297" t="s">
        <v>511</v>
      </c>
      <c r="H297" t="s">
        <v>512</v>
      </c>
      <c r="I297" s="3">
        <f>DATEVALUE("2024/05/03 00:00:00")</f>
        <v>45415</v>
      </c>
      <c r="J297" s="3">
        <f>DATEVALUE("2024/08/09 00:00:00")</f>
        <v>45513</v>
      </c>
      <c r="K297" s="3">
        <f>DATEVALUE("2024/08/16 00:00:00")</f>
        <v>45520</v>
      </c>
      <c r="L297" s="4">
        <v>550</v>
      </c>
      <c r="M297" s="4">
        <v>0</v>
      </c>
      <c r="N297" t="s">
        <v>64</v>
      </c>
      <c r="O297" s="4">
        <v>321.2</v>
      </c>
      <c r="P297" s="4">
        <v>342.2</v>
      </c>
      <c r="Q297" s="4">
        <v>0</v>
      </c>
      <c r="R297" t="s">
        <v>34</v>
      </c>
      <c r="S297" t="s">
        <v>35</v>
      </c>
    </row>
    <row r="298" spans="1:19" x14ac:dyDescent="0.25">
      <c r="A298" t="s">
        <v>495</v>
      </c>
      <c r="B298" t="s">
        <v>496</v>
      </c>
      <c r="C298" t="s">
        <v>60</v>
      </c>
      <c r="D298" t="s">
        <v>61</v>
      </c>
      <c r="E298" t="s">
        <v>22</v>
      </c>
      <c r="F298" t="s">
        <v>23</v>
      </c>
      <c r="G298" t="s">
        <v>511</v>
      </c>
      <c r="H298" t="s">
        <v>512</v>
      </c>
      <c r="I298" s="3">
        <f>DATEVALUE("2024/05/03 00:00:00")</f>
        <v>45415</v>
      </c>
      <c r="J298" s="3">
        <f>DATEVALUE("2024/07/19 00:00:00")</f>
        <v>45492</v>
      </c>
      <c r="K298" s="3">
        <f>DATEVALUE("2024/07/26 00:00:00")</f>
        <v>45499</v>
      </c>
      <c r="L298" s="4">
        <v>3335</v>
      </c>
      <c r="M298" s="4">
        <v>0</v>
      </c>
      <c r="N298" t="s">
        <v>64</v>
      </c>
      <c r="O298" s="4">
        <v>1280</v>
      </c>
      <c r="P298" s="4">
        <v>1407.44</v>
      </c>
      <c r="Q298" s="4">
        <v>0</v>
      </c>
      <c r="R298" t="s">
        <v>34</v>
      </c>
      <c r="S298" t="s">
        <v>35</v>
      </c>
    </row>
    <row r="299" spans="1:19" x14ac:dyDescent="0.25">
      <c r="A299" t="s">
        <v>495</v>
      </c>
      <c r="B299" t="s">
        <v>496</v>
      </c>
      <c r="C299" t="s">
        <v>60</v>
      </c>
      <c r="D299" t="s">
        <v>61</v>
      </c>
      <c r="E299" t="s">
        <v>22</v>
      </c>
      <c r="F299" t="s">
        <v>23</v>
      </c>
      <c r="G299" t="s">
        <v>511</v>
      </c>
      <c r="H299" t="s">
        <v>512</v>
      </c>
      <c r="I299" s="3">
        <f>DATEVALUE("2024/05/03 00:00:00")</f>
        <v>45415</v>
      </c>
      <c r="J299" s="3">
        <f>DATEVALUE("2024/08/16 00:00:00")</f>
        <v>45520</v>
      </c>
      <c r="K299" s="3">
        <f>DATEVALUE("2024/08/23 00:00:00")</f>
        <v>45527</v>
      </c>
      <c r="L299" s="4">
        <v>3138</v>
      </c>
      <c r="M299" s="4">
        <v>0</v>
      </c>
      <c r="N299" t="s">
        <v>64</v>
      </c>
      <c r="O299" s="4">
        <v>1660.5</v>
      </c>
      <c r="P299" s="4">
        <v>1707.73</v>
      </c>
      <c r="Q299" s="4">
        <v>0</v>
      </c>
      <c r="R299" t="s">
        <v>34</v>
      </c>
      <c r="S299" t="s">
        <v>35</v>
      </c>
    </row>
    <row r="300" spans="1:19" x14ac:dyDescent="0.25">
      <c r="A300" t="s">
        <v>495</v>
      </c>
      <c r="B300" t="s">
        <v>496</v>
      </c>
      <c r="C300" t="s">
        <v>60</v>
      </c>
      <c r="D300" t="s">
        <v>61</v>
      </c>
      <c r="E300" t="s">
        <v>22</v>
      </c>
      <c r="F300" t="s">
        <v>23</v>
      </c>
      <c r="G300" t="s">
        <v>511</v>
      </c>
      <c r="H300" t="s">
        <v>512</v>
      </c>
      <c r="I300" s="3">
        <f>DATEVALUE("2024/05/03 00:00:00")</f>
        <v>45415</v>
      </c>
      <c r="J300" s="3">
        <f>DATEVALUE("2024/07/30 00:00:00")</f>
        <v>45503</v>
      </c>
      <c r="K300" s="3">
        <f>DATEVALUE("2024/07/26 00:00:00")</f>
        <v>45499</v>
      </c>
      <c r="L300" s="4">
        <v>2230</v>
      </c>
      <c r="M300" s="4">
        <v>0</v>
      </c>
      <c r="N300" t="s">
        <v>64</v>
      </c>
      <c r="O300" s="4">
        <v>1496.7</v>
      </c>
      <c r="P300" s="4">
        <v>1524.77</v>
      </c>
      <c r="Q300" s="4">
        <v>0</v>
      </c>
      <c r="R300" t="s">
        <v>34</v>
      </c>
      <c r="S300" t="s">
        <v>35</v>
      </c>
    </row>
    <row r="301" spans="1:19" x14ac:dyDescent="0.25">
      <c r="A301" t="s">
        <v>495</v>
      </c>
      <c r="B301" t="s">
        <v>496</v>
      </c>
      <c r="C301" t="s">
        <v>60</v>
      </c>
      <c r="D301" t="s">
        <v>61</v>
      </c>
      <c r="E301" t="s">
        <v>22</v>
      </c>
      <c r="F301" t="s">
        <v>23</v>
      </c>
      <c r="G301" t="s">
        <v>513</v>
      </c>
      <c r="H301" t="s">
        <v>514</v>
      </c>
      <c r="I301" s="3">
        <f>DATEVALUE("2024/05/14 00:00:00")</f>
        <v>45426</v>
      </c>
      <c r="J301" s="3">
        <f>DATEVALUE("2024/08/16 00:00:00")</f>
        <v>45520</v>
      </c>
      <c r="K301" s="3">
        <f>DATEVALUE("2024/08/23 00:00:00")</f>
        <v>45527</v>
      </c>
      <c r="L301" s="4">
        <v>6124</v>
      </c>
      <c r="M301" s="4">
        <v>0</v>
      </c>
      <c r="N301" t="s">
        <v>64</v>
      </c>
      <c r="O301" s="4">
        <v>3524</v>
      </c>
      <c r="P301" s="4">
        <v>3580.78</v>
      </c>
      <c r="Q301" s="4">
        <v>0</v>
      </c>
      <c r="R301" t="s">
        <v>34</v>
      </c>
      <c r="S301" t="s">
        <v>35</v>
      </c>
    </row>
    <row r="302" spans="1:19" x14ac:dyDescent="0.25">
      <c r="A302" t="s">
        <v>495</v>
      </c>
      <c r="B302" t="s">
        <v>496</v>
      </c>
      <c r="C302" t="s">
        <v>60</v>
      </c>
      <c r="D302" t="s">
        <v>61</v>
      </c>
      <c r="E302" t="s">
        <v>22</v>
      </c>
      <c r="F302" t="s">
        <v>23</v>
      </c>
      <c r="G302" t="s">
        <v>515</v>
      </c>
      <c r="H302" t="s">
        <v>516</v>
      </c>
      <c r="I302" s="3">
        <f>DATEVALUE("2024/05/22 00:00:00")</f>
        <v>45434</v>
      </c>
      <c r="J302" s="3">
        <f>DATEVALUE("2024/11/29 00:00:00")</f>
        <v>45625</v>
      </c>
      <c r="K302" s="3">
        <f>DATEVALUE("2024/12/06 00:00:00")</f>
        <v>45632</v>
      </c>
      <c r="L302" s="4">
        <v>29640.52</v>
      </c>
      <c r="M302" s="4">
        <v>29640.52</v>
      </c>
      <c r="N302" t="s">
        <v>64</v>
      </c>
      <c r="O302" s="4">
        <v>14613.74</v>
      </c>
      <c r="P302" s="4">
        <v>0</v>
      </c>
      <c r="Q302" s="4">
        <v>14613.74</v>
      </c>
      <c r="R302" t="s">
        <v>27</v>
      </c>
      <c r="S302" t="s">
        <v>1</v>
      </c>
    </row>
    <row r="303" spans="1:19" x14ac:dyDescent="0.25">
      <c r="A303" t="s">
        <v>495</v>
      </c>
      <c r="B303" t="s">
        <v>496</v>
      </c>
      <c r="C303" t="s">
        <v>60</v>
      </c>
      <c r="D303" t="s">
        <v>61</v>
      </c>
      <c r="E303" t="s">
        <v>22</v>
      </c>
      <c r="F303" t="s">
        <v>23</v>
      </c>
      <c r="G303" t="s">
        <v>515</v>
      </c>
      <c r="H303" t="s">
        <v>516</v>
      </c>
      <c r="I303" s="3">
        <f>DATEVALUE("2024/05/22 00:00:00")</f>
        <v>45434</v>
      </c>
      <c r="J303" s="3">
        <f>DATEVALUE("2024/12/13 00:00:00")</f>
        <v>45639</v>
      </c>
      <c r="K303" s="3">
        <f>DATEVALUE("2024/12/20 00:00:00")</f>
        <v>45646</v>
      </c>
      <c r="L303" s="4">
        <v>4390</v>
      </c>
      <c r="M303" s="4">
        <v>4390</v>
      </c>
      <c r="N303" t="s">
        <v>64</v>
      </c>
      <c r="O303" s="4">
        <v>1338</v>
      </c>
      <c r="P303" s="4">
        <v>0</v>
      </c>
      <c r="Q303" s="4">
        <v>1338</v>
      </c>
      <c r="R303" t="s">
        <v>27</v>
      </c>
      <c r="S303" t="s">
        <v>1</v>
      </c>
    </row>
    <row r="304" spans="1:19" x14ac:dyDescent="0.25">
      <c r="A304" t="s">
        <v>495</v>
      </c>
      <c r="B304" t="s">
        <v>496</v>
      </c>
      <c r="C304" t="s">
        <v>60</v>
      </c>
      <c r="D304" t="s">
        <v>61</v>
      </c>
      <c r="E304" t="s">
        <v>22</v>
      </c>
      <c r="F304" t="s">
        <v>23</v>
      </c>
      <c r="G304" t="s">
        <v>515</v>
      </c>
      <c r="H304" t="s">
        <v>516</v>
      </c>
      <c r="I304" s="3">
        <f>DATEVALUE("2024/05/22 00:00:00")</f>
        <v>45434</v>
      </c>
      <c r="J304" s="3">
        <f>DATEVALUE("2024/12/06 00:00:00")</f>
        <v>45632</v>
      </c>
      <c r="K304" s="3">
        <f>DATEVALUE("2024/12/13 00:00:00")</f>
        <v>45639</v>
      </c>
      <c r="L304" s="4">
        <v>5702</v>
      </c>
      <c r="M304" s="4">
        <v>5702</v>
      </c>
      <c r="N304" t="s">
        <v>64</v>
      </c>
      <c r="O304" s="4">
        <v>2729.8</v>
      </c>
      <c r="P304" s="4">
        <v>0</v>
      </c>
      <c r="Q304" s="4">
        <v>2729.8</v>
      </c>
      <c r="R304" t="s">
        <v>27</v>
      </c>
      <c r="S304" t="s">
        <v>1</v>
      </c>
    </row>
    <row r="305" spans="1:19" x14ac:dyDescent="0.25">
      <c r="A305" t="s">
        <v>495</v>
      </c>
      <c r="B305" t="s">
        <v>496</v>
      </c>
      <c r="C305" t="s">
        <v>60</v>
      </c>
      <c r="D305" t="s">
        <v>61</v>
      </c>
      <c r="E305" t="s">
        <v>22</v>
      </c>
      <c r="F305" t="s">
        <v>23</v>
      </c>
      <c r="G305" t="s">
        <v>517</v>
      </c>
      <c r="H305" t="s">
        <v>518</v>
      </c>
      <c r="I305" s="3">
        <f>DATEVALUE("2024/06/05 00:00:00")</f>
        <v>45448</v>
      </c>
      <c r="J305" s="3">
        <f>DATEVALUE("2024/09/06 00:00:00")</f>
        <v>45541</v>
      </c>
      <c r="K305" s="3">
        <f>DATEVALUE("2024/09/13 00:00:00")</f>
        <v>45548</v>
      </c>
      <c r="L305" s="4">
        <v>6058</v>
      </c>
      <c r="M305" s="4">
        <v>0</v>
      </c>
      <c r="N305" t="s">
        <v>64</v>
      </c>
      <c r="O305" s="4">
        <v>3688.9</v>
      </c>
      <c r="P305" s="4">
        <v>3755.67</v>
      </c>
      <c r="Q305" s="4">
        <v>0</v>
      </c>
      <c r="R305" t="s">
        <v>34</v>
      </c>
      <c r="S305" t="s">
        <v>35</v>
      </c>
    </row>
    <row r="306" spans="1:19" x14ac:dyDescent="0.25">
      <c r="A306" t="s">
        <v>495</v>
      </c>
      <c r="B306" t="s">
        <v>496</v>
      </c>
      <c r="C306" t="s">
        <v>60</v>
      </c>
      <c r="D306" t="s">
        <v>61</v>
      </c>
      <c r="E306" t="s">
        <v>22</v>
      </c>
      <c r="F306" t="s">
        <v>23</v>
      </c>
      <c r="G306" t="s">
        <v>519</v>
      </c>
      <c r="H306" t="s">
        <v>520</v>
      </c>
      <c r="I306" s="3">
        <f>DATEVALUE("2024/06/13 00:00:00")</f>
        <v>45456</v>
      </c>
      <c r="J306" s="3">
        <f>DATEVALUE("2024/11/01 00:00:00")</f>
        <v>45597</v>
      </c>
      <c r="K306" s="3">
        <f>DATEVALUE("2024/11/08 00:00:00")</f>
        <v>45604</v>
      </c>
      <c r="L306" s="4">
        <v>7667.8</v>
      </c>
      <c r="M306" s="4">
        <v>0</v>
      </c>
      <c r="N306" t="s">
        <v>64</v>
      </c>
      <c r="O306" s="4">
        <v>2681.6</v>
      </c>
      <c r="P306" s="4">
        <v>2686.94</v>
      </c>
      <c r="Q306" s="4">
        <v>0</v>
      </c>
      <c r="R306" t="s">
        <v>34</v>
      </c>
      <c r="S306" t="s">
        <v>35</v>
      </c>
    </row>
    <row r="307" spans="1:19" x14ac:dyDescent="0.25">
      <c r="A307" t="s">
        <v>495</v>
      </c>
      <c r="B307" t="s">
        <v>496</v>
      </c>
      <c r="C307" t="s">
        <v>60</v>
      </c>
      <c r="D307" t="s">
        <v>61</v>
      </c>
      <c r="E307" t="s">
        <v>22</v>
      </c>
      <c r="F307" t="s">
        <v>23</v>
      </c>
      <c r="G307" t="s">
        <v>521</v>
      </c>
      <c r="H307" t="s">
        <v>522</v>
      </c>
      <c r="I307" s="3">
        <f>DATEVALUE("2024/06/19 00:00:00")</f>
        <v>45462</v>
      </c>
      <c r="J307" s="3">
        <f>DATEVALUE("2024/12/06 00:00:00")</f>
        <v>45632</v>
      </c>
      <c r="K307" s="3">
        <f>DATEVALUE("2024/12/13 00:00:00")</f>
        <v>45639</v>
      </c>
      <c r="L307" s="4">
        <v>73029.899999999994</v>
      </c>
      <c r="M307" s="4">
        <v>73029.899999999994</v>
      </c>
      <c r="N307" t="s">
        <v>64</v>
      </c>
      <c r="O307" s="4">
        <v>34779.57</v>
      </c>
      <c r="P307" s="4">
        <v>0</v>
      </c>
      <c r="Q307" s="4">
        <v>34779.57</v>
      </c>
      <c r="R307" t="s">
        <v>27</v>
      </c>
      <c r="S307" t="s">
        <v>1</v>
      </c>
    </row>
    <row r="308" spans="1:19" x14ac:dyDescent="0.25">
      <c r="A308" t="s">
        <v>495</v>
      </c>
      <c r="B308" t="s">
        <v>496</v>
      </c>
      <c r="C308" t="s">
        <v>80</v>
      </c>
      <c r="D308" t="s">
        <v>81</v>
      </c>
      <c r="E308" t="s">
        <v>22</v>
      </c>
      <c r="F308" t="s">
        <v>23</v>
      </c>
      <c r="G308" t="s">
        <v>523</v>
      </c>
      <c r="H308" t="s">
        <v>524</v>
      </c>
      <c r="I308" s="3">
        <f>DATEVALUE("2024/05/21 00:00:00")</f>
        <v>45433</v>
      </c>
      <c r="J308" s="3">
        <f>DATEVALUE("2024/08/30 00:00:00")</f>
        <v>45534</v>
      </c>
      <c r="K308" s="3">
        <f>DATEVALUE("2024/09/06 00:00:00")</f>
        <v>45541</v>
      </c>
      <c r="L308" s="4">
        <v>116803.18</v>
      </c>
      <c r="M308" s="4">
        <v>0</v>
      </c>
      <c r="N308" t="s">
        <v>26</v>
      </c>
      <c r="O308" s="4">
        <v>57568.3</v>
      </c>
      <c r="P308" s="4">
        <v>54297.79</v>
      </c>
      <c r="Q308" s="4">
        <v>0</v>
      </c>
      <c r="R308" t="s">
        <v>34</v>
      </c>
      <c r="S308" t="s">
        <v>35</v>
      </c>
    </row>
    <row r="309" spans="1:19" x14ac:dyDescent="0.25">
      <c r="A309" t="s">
        <v>495</v>
      </c>
      <c r="B309" t="s">
        <v>496</v>
      </c>
      <c r="C309" t="s">
        <v>142</v>
      </c>
      <c r="D309" t="s">
        <v>143</v>
      </c>
      <c r="E309" t="s">
        <v>22</v>
      </c>
      <c r="F309" t="s">
        <v>23</v>
      </c>
      <c r="G309" t="s">
        <v>525</v>
      </c>
      <c r="H309" t="s">
        <v>526</v>
      </c>
      <c r="I309" s="3">
        <f>DATEVALUE("2024/03/22 00:00:00")</f>
        <v>45373</v>
      </c>
      <c r="J309" s="3">
        <f>DATEVALUE("2024/07/09 00:00:00")</f>
        <v>45482</v>
      </c>
      <c r="K309" s="3">
        <f>DATEVALUE("2024/07/16 00:00:00")</f>
        <v>45489</v>
      </c>
      <c r="L309" s="4">
        <v>22209.35</v>
      </c>
      <c r="M309" s="4">
        <v>0</v>
      </c>
      <c r="N309" t="s">
        <v>26</v>
      </c>
      <c r="O309" s="4">
        <v>10473.950000000001</v>
      </c>
      <c r="P309" s="4">
        <v>10299.530000000001</v>
      </c>
      <c r="Q309" s="4">
        <v>0</v>
      </c>
      <c r="R309" t="s">
        <v>34</v>
      </c>
      <c r="S309" t="s">
        <v>35</v>
      </c>
    </row>
    <row r="310" spans="1:19" x14ac:dyDescent="0.25">
      <c r="A310" t="s">
        <v>495</v>
      </c>
      <c r="B310" t="s">
        <v>496</v>
      </c>
      <c r="C310" t="s">
        <v>142</v>
      </c>
      <c r="D310" t="s">
        <v>143</v>
      </c>
      <c r="E310" t="s">
        <v>22</v>
      </c>
      <c r="F310" t="s">
        <v>23</v>
      </c>
      <c r="G310" t="s">
        <v>525</v>
      </c>
      <c r="H310" t="s">
        <v>526</v>
      </c>
      <c r="I310" s="3">
        <f>DATEVALUE("2024/03/22 00:00:00")</f>
        <v>45373</v>
      </c>
      <c r="J310" s="3">
        <f>DATEVALUE("2024/07/15 00:00:00")</f>
        <v>45488</v>
      </c>
      <c r="K310" s="3">
        <f>DATEVALUE("2024/07/22 00:00:00")</f>
        <v>45495</v>
      </c>
      <c r="L310" s="4">
        <v>1986</v>
      </c>
      <c r="M310" s="4">
        <v>0</v>
      </c>
      <c r="N310" t="s">
        <v>26</v>
      </c>
      <c r="O310" s="4">
        <v>890</v>
      </c>
      <c r="P310" s="4">
        <v>886.03</v>
      </c>
      <c r="Q310" s="4">
        <v>0</v>
      </c>
      <c r="R310" t="s">
        <v>34</v>
      </c>
      <c r="S310" t="s">
        <v>35</v>
      </c>
    </row>
    <row r="311" spans="1:19" x14ac:dyDescent="0.25">
      <c r="A311" t="s">
        <v>495</v>
      </c>
      <c r="B311" t="s">
        <v>496</v>
      </c>
      <c r="C311" t="s">
        <v>142</v>
      </c>
      <c r="D311" t="s">
        <v>143</v>
      </c>
      <c r="E311" t="s">
        <v>22</v>
      </c>
      <c r="F311" t="s">
        <v>23</v>
      </c>
      <c r="G311" t="s">
        <v>527</v>
      </c>
      <c r="H311" t="s">
        <v>528</v>
      </c>
      <c r="I311" s="3">
        <f>DATEVALUE("2024/06/27 00:00:00")</f>
        <v>45470</v>
      </c>
      <c r="J311" s="3">
        <f>DATEVALUE("2024/10/31 00:00:00")</f>
        <v>45596</v>
      </c>
      <c r="K311" s="3">
        <f>DATEVALUE("2024/11/07 00:00:00")</f>
        <v>45603</v>
      </c>
      <c r="L311" s="4">
        <v>1305.5999999999999</v>
      </c>
      <c r="M311" s="4">
        <v>1305.5999999999999</v>
      </c>
      <c r="N311" t="s">
        <v>26</v>
      </c>
      <c r="O311" s="4">
        <v>471.6</v>
      </c>
      <c r="P311" s="4">
        <v>0</v>
      </c>
      <c r="Q311" s="4">
        <v>471.6</v>
      </c>
      <c r="R311" t="s">
        <v>27</v>
      </c>
      <c r="S311" t="s">
        <v>1</v>
      </c>
    </row>
    <row r="312" spans="1:19" x14ac:dyDescent="0.25">
      <c r="A312" t="s">
        <v>495</v>
      </c>
      <c r="B312" t="s">
        <v>496</v>
      </c>
      <c r="C312" t="s">
        <v>142</v>
      </c>
      <c r="D312" t="s">
        <v>143</v>
      </c>
      <c r="E312" t="s">
        <v>22</v>
      </c>
      <c r="F312" t="s">
        <v>23</v>
      </c>
      <c r="G312" t="s">
        <v>527</v>
      </c>
      <c r="H312" t="s">
        <v>528</v>
      </c>
      <c r="I312" s="3">
        <f>DATEVALUE("2024/06/27 00:00:00")</f>
        <v>45470</v>
      </c>
      <c r="J312" s="3">
        <f>DATEVALUE("2024/10/31 00:00:00")</f>
        <v>45596</v>
      </c>
      <c r="K312" s="3">
        <f>DATEVALUE("2024/11/07 00:00:00")</f>
        <v>45603</v>
      </c>
      <c r="L312" s="4">
        <v>1514</v>
      </c>
      <c r="M312" s="4">
        <v>0</v>
      </c>
      <c r="N312" t="s">
        <v>26</v>
      </c>
      <c r="O312" s="4">
        <v>535</v>
      </c>
      <c r="P312" s="4">
        <v>543.16999999999996</v>
      </c>
      <c r="Q312" s="4">
        <v>0</v>
      </c>
      <c r="R312" t="s">
        <v>34</v>
      </c>
      <c r="S312" t="s">
        <v>35</v>
      </c>
    </row>
    <row r="313" spans="1:19" x14ac:dyDescent="0.25">
      <c r="A313" t="s">
        <v>495</v>
      </c>
      <c r="B313" t="s">
        <v>496</v>
      </c>
      <c r="C313" t="s">
        <v>114</v>
      </c>
      <c r="D313" t="s">
        <v>115</v>
      </c>
      <c r="E313" t="s">
        <v>22</v>
      </c>
      <c r="F313" t="s">
        <v>23</v>
      </c>
      <c r="G313" t="s">
        <v>529</v>
      </c>
      <c r="H313" t="s">
        <v>530</v>
      </c>
      <c r="I313" s="3">
        <f>DATEVALUE("2024/05/23 00:00:00")</f>
        <v>45435</v>
      </c>
      <c r="J313" s="3">
        <f>DATEVALUE("2024/09/06 00:00:00")</f>
        <v>45541</v>
      </c>
      <c r="K313" s="3">
        <f>DATEVALUE("2024/09/13 00:00:00")</f>
        <v>45548</v>
      </c>
      <c r="L313" s="4">
        <v>56225.599999999999</v>
      </c>
      <c r="M313" s="4">
        <v>0</v>
      </c>
      <c r="N313" t="s">
        <v>26</v>
      </c>
      <c r="O313" s="4">
        <v>22351.25</v>
      </c>
      <c r="P313" s="4">
        <v>21771.91</v>
      </c>
      <c r="Q313" s="4">
        <v>0</v>
      </c>
      <c r="R313" t="s">
        <v>34</v>
      </c>
      <c r="S313" t="s">
        <v>35</v>
      </c>
    </row>
    <row r="314" spans="1:19" x14ac:dyDescent="0.25">
      <c r="A314" t="s">
        <v>495</v>
      </c>
      <c r="B314" t="s">
        <v>496</v>
      </c>
      <c r="C314" t="s">
        <v>36</v>
      </c>
      <c r="D314" t="s">
        <v>37</v>
      </c>
      <c r="E314" t="s">
        <v>22</v>
      </c>
      <c r="F314" t="s">
        <v>23</v>
      </c>
      <c r="G314" t="s">
        <v>531</v>
      </c>
      <c r="H314" t="s">
        <v>532</v>
      </c>
      <c r="I314" s="3">
        <f>DATEVALUE("2024/03/25 00:00:00")</f>
        <v>45376</v>
      </c>
      <c r="J314" s="3">
        <f>DATEVALUE("2024/07/13 00:00:00")</f>
        <v>45486</v>
      </c>
      <c r="K314" s="3">
        <f>DATEVALUE("2024/07/20 00:00:00")</f>
        <v>45493</v>
      </c>
      <c r="L314" s="4">
        <v>163458.23999999999</v>
      </c>
      <c r="M314" s="4">
        <v>0</v>
      </c>
      <c r="N314" t="s">
        <v>26</v>
      </c>
      <c r="O314" s="4">
        <v>78893.039999999994</v>
      </c>
      <c r="P314" s="4">
        <v>73474.02</v>
      </c>
      <c r="Q314" s="4">
        <v>0</v>
      </c>
      <c r="R314" t="s">
        <v>34</v>
      </c>
      <c r="S314" t="s">
        <v>35</v>
      </c>
    </row>
    <row r="315" spans="1:19" x14ac:dyDescent="0.25">
      <c r="A315" t="s">
        <v>495</v>
      </c>
      <c r="B315" t="s">
        <v>496</v>
      </c>
      <c r="C315" t="s">
        <v>36</v>
      </c>
      <c r="D315" t="s">
        <v>37</v>
      </c>
      <c r="E315" t="s">
        <v>22</v>
      </c>
      <c r="F315" t="s">
        <v>23</v>
      </c>
      <c r="G315" t="s">
        <v>531</v>
      </c>
      <c r="H315" t="s">
        <v>532</v>
      </c>
      <c r="I315" s="3">
        <f>DATEVALUE("2024/03/25 00:00:00")</f>
        <v>45376</v>
      </c>
      <c r="J315" s="3">
        <f>DATEVALUE("2024/07/19 00:00:00")</f>
        <v>45492</v>
      </c>
      <c r="K315" s="3">
        <f>DATEVALUE("2024/07/20 00:00:00")</f>
        <v>45493</v>
      </c>
      <c r="L315" s="4">
        <v>31200</v>
      </c>
      <c r="M315" s="4">
        <v>0</v>
      </c>
      <c r="N315" t="s">
        <v>26</v>
      </c>
      <c r="O315" s="4">
        <v>14592</v>
      </c>
      <c r="P315" s="4">
        <v>11896.96</v>
      </c>
      <c r="Q315" s="4">
        <v>0</v>
      </c>
      <c r="R315" t="s">
        <v>34</v>
      </c>
      <c r="S315" t="s">
        <v>35</v>
      </c>
    </row>
    <row r="316" spans="1:19" x14ac:dyDescent="0.25">
      <c r="A316" t="s">
        <v>495</v>
      </c>
      <c r="B316" t="s">
        <v>496</v>
      </c>
      <c r="C316" t="s">
        <v>36</v>
      </c>
      <c r="D316" t="s">
        <v>37</v>
      </c>
      <c r="E316" t="s">
        <v>22</v>
      </c>
      <c r="F316" t="s">
        <v>23</v>
      </c>
      <c r="G316" t="s">
        <v>533</v>
      </c>
      <c r="H316" t="s">
        <v>534</v>
      </c>
      <c r="I316" s="3">
        <f>DATEVALUE("2024/05/28 00:00:00")</f>
        <v>45440</v>
      </c>
      <c r="J316" s="3">
        <f>DATEVALUE("2024/10/09 00:00:00")</f>
        <v>45574</v>
      </c>
      <c r="K316" s="3">
        <f>DATEVALUE("2024/10/18 00:00:00")</f>
        <v>45583</v>
      </c>
      <c r="L316" s="4">
        <v>727278</v>
      </c>
      <c r="M316" s="4">
        <v>650734.92000000004</v>
      </c>
      <c r="N316" t="s">
        <v>26</v>
      </c>
      <c r="O316" s="4">
        <v>137935.20000000001</v>
      </c>
      <c r="P316" s="4">
        <v>15070.52</v>
      </c>
      <c r="Q316" s="4">
        <v>122864.68</v>
      </c>
      <c r="R316" t="s">
        <v>27</v>
      </c>
      <c r="S316" t="s">
        <v>535</v>
      </c>
    </row>
    <row r="317" spans="1:19" x14ac:dyDescent="0.25">
      <c r="A317" t="s">
        <v>495</v>
      </c>
      <c r="B317" t="s">
        <v>496</v>
      </c>
      <c r="C317" t="s">
        <v>36</v>
      </c>
      <c r="D317" t="s">
        <v>37</v>
      </c>
      <c r="E317" t="s">
        <v>22</v>
      </c>
      <c r="F317" t="s">
        <v>23</v>
      </c>
      <c r="G317" t="s">
        <v>533</v>
      </c>
      <c r="H317" t="s">
        <v>534</v>
      </c>
      <c r="I317" s="3">
        <f>DATEVALUE("2024/05/28 00:00:00")</f>
        <v>45440</v>
      </c>
      <c r="J317" s="3">
        <f>DATEVALUE("2024/10/09 00:00:00")</f>
        <v>45574</v>
      </c>
      <c r="K317" s="3">
        <f>DATEVALUE("2024/10/18 00:00:00")</f>
        <v>45583</v>
      </c>
      <c r="L317" s="4">
        <v>29007.599999999999</v>
      </c>
      <c r="M317" s="4">
        <v>0</v>
      </c>
      <c r="N317" t="s">
        <v>26</v>
      </c>
      <c r="O317" s="4">
        <v>3252</v>
      </c>
      <c r="P317" s="4">
        <v>0</v>
      </c>
      <c r="Q317" s="4">
        <v>0</v>
      </c>
      <c r="R317" t="s">
        <v>34</v>
      </c>
      <c r="S317" t="s">
        <v>35</v>
      </c>
    </row>
    <row r="318" spans="1:19" x14ac:dyDescent="0.25">
      <c r="A318" t="s">
        <v>495</v>
      </c>
      <c r="B318" t="s">
        <v>496</v>
      </c>
      <c r="C318" t="s">
        <v>40</v>
      </c>
      <c r="D318" t="s">
        <v>41</v>
      </c>
      <c r="E318" t="s">
        <v>22</v>
      </c>
      <c r="F318" t="s">
        <v>23</v>
      </c>
      <c r="G318" t="s">
        <v>536</v>
      </c>
      <c r="H318" t="s">
        <v>537</v>
      </c>
      <c r="I318" s="3">
        <f>DATEVALUE("2024/04/09 00:00:00")</f>
        <v>45391</v>
      </c>
      <c r="J318" s="3">
        <f>DATEVALUE("2024/09/13 00:00:00")</f>
        <v>45548</v>
      </c>
      <c r="K318" s="3">
        <f>DATEVALUE("2024/09/20 00:00:00")</f>
        <v>45555</v>
      </c>
      <c r="L318" s="4">
        <v>8092.5</v>
      </c>
      <c r="M318" s="4">
        <v>0</v>
      </c>
      <c r="N318" t="s">
        <v>26</v>
      </c>
      <c r="O318" s="4">
        <v>2046.6</v>
      </c>
      <c r="P318" s="4">
        <v>1922.04</v>
      </c>
      <c r="Q318" s="4">
        <v>0</v>
      </c>
      <c r="R318" t="s">
        <v>34</v>
      </c>
      <c r="S318" t="s">
        <v>35</v>
      </c>
    </row>
    <row r="319" spans="1:19" x14ac:dyDescent="0.25">
      <c r="A319" t="s">
        <v>495</v>
      </c>
      <c r="B319" t="s">
        <v>496</v>
      </c>
      <c r="C319" t="s">
        <v>40</v>
      </c>
      <c r="D319" t="s">
        <v>41</v>
      </c>
      <c r="E319" t="s">
        <v>22</v>
      </c>
      <c r="F319" t="s">
        <v>23</v>
      </c>
      <c r="G319" t="s">
        <v>536</v>
      </c>
      <c r="H319" t="s">
        <v>537</v>
      </c>
      <c r="I319" s="3">
        <f>DATEVALUE("2024/04/09 00:00:00")</f>
        <v>45391</v>
      </c>
      <c r="J319" s="3">
        <f>DATEVALUE("2024/08/16 00:00:00")</f>
        <v>45520</v>
      </c>
      <c r="K319" s="3">
        <f>DATEVALUE("2024/08/23 00:00:00")</f>
        <v>45527</v>
      </c>
      <c r="L319" s="4">
        <v>1305.5999999999999</v>
      </c>
      <c r="M319" s="4">
        <v>0</v>
      </c>
      <c r="N319" t="s">
        <v>26</v>
      </c>
      <c r="O319" s="4">
        <v>473.6</v>
      </c>
      <c r="P319" s="4">
        <v>448.72</v>
      </c>
      <c r="Q319" s="4">
        <v>0</v>
      </c>
      <c r="R319" t="s">
        <v>34</v>
      </c>
      <c r="S319" t="s">
        <v>35</v>
      </c>
    </row>
    <row r="320" spans="1:19" x14ac:dyDescent="0.25">
      <c r="A320" t="s">
        <v>495</v>
      </c>
      <c r="B320" t="s">
        <v>496</v>
      </c>
      <c r="C320" t="s">
        <v>40</v>
      </c>
      <c r="D320" t="s">
        <v>41</v>
      </c>
      <c r="E320" t="s">
        <v>22</v>
      </c>
      <c r="F320" t="s">
        <v>23</v>
      </c>
      <c r="G320" t="s">
        <v>536</v>
      </c>
      <c r="H320" t="s">
        <v>537</v>
      </c>
      <c r="I320" s="3">
        <f>DATEVALUE("2024/04/09 00:00:00")</f>
        <v>45391</v>
      </c>
      <c r="J320" s="3">
        <f>DATEVALUE("2024/07/26 00:00:00")</f>
        <v>45499</v>
      </c>
      <c r="K320" s="3">
        <f>DATEVALUE("2024/08/02 00:00:00")</f>
        <v>45506</v>
      </c>
      <c r="L320" s="4">
        <v>1697.5</v>
      </c>
      <c r="M320" s="4">
        <v>0</v>
      </c>
      <c r="N320" t="s">
        <v>26</v>
      </c>
      <c r="O320" s="4">
        <v>457.5</v>
      </c>
      <c r="P320" s="4">
        <v>441.64</v>
      </c>
      <c r="Q320" s="4">
        <v>0</v>
      </c>
      <c r="R320" t="s">
        <v>34</v>
      </c>
      <c r="S320" t="s">
        <v>35</v>
      </c>
    </row>
    <row r="321" spans="1:19" x14ac:dyDescent="0.25">
      <c r="A321" t="s">
        <v>495</v>
      </c>
      <c r="B321" t="s">
        <v>496</v>
      </c>
      <c r="C321" t="s">
        <v>40</v>
      </c>
      <c r="D321" t="s">
        <v>41</v>
      </c>
      <c r="E321" t="s">
        <v>22</v>
      </c>
      <c r="F321" t="s">
        <v>23</v>
      </c>
      <c r="G321" t="s">
        <v>538</v>
      </c>
      <c r="H321" t="s">
        <v>539</v>
      </c>
      <c r="I321" s="3">
        <f>DATEVALUE("2024/05/21 00:00:00")</f>
        <v>45433</v>
      </c>
      <c r="J321" s="3">
        <f>DATEVALUE("2024/12/06 00:00:00")</f>
        <v>45632</v>
      </c>
      <c r="K321" s="3">
        <f>DATEVALUE("2024/12/30 00:00:00")</f>
        <v>45656</v>
      </c>
      <c r="L321" s="4">
        <v>65076</v>
      </c>
      <c r="M321" s="4">
        <v>65076</v>
      </c>
      <c r="N321" t="s">
        <v>26</v>
      </c>
      <c r="O321" s="4">
        <v>15807</v>
      </c>
      <c r="P321" s="4">
        <v>0</v>
      </c>
      <c r="Q321" s="4">
        <v>15807</v>
      </c>
      <c r="R321" t="s">
        <v>27</v>
      </c>
      <c r="S321" t="s">
        <v>1</v>
      </c>
    </row>
    <row r="322" spans="1:19" x14ac:dyDescent="0.25">
      <c r="A322" t="s">
        <v>495</v>
      </c>
      <c r="B322" t="s">
        <v>496</v>
      </c>
      <c r="C322" t="s">
        <v>40</v>
      </c>
      <c r="D322" t="s">
        <v>41</v>
      </c>
      <c r="E322" t="s">
        <v>22</v>
      </c>
      <c r="F322" t="s">
        <v>23</v>
      </c>
      <c r="G322" t="s">
        <v>538</v>
      </c>
      <c r="H322" t="s">
        <v>539</v>
      </c>
      <c r="I322" s="3">
        <f>DATEVALUE("2024/05/21 00:00:00")</f>
        <v>45433</v>
      </c>
      <c r="J322" s="3">
        <f>DATEVALUE("2024/11/15 00:00:00")</f>
        <v>45611</v>
      </c>
      <c r="K322" s="3">
        <f>DATEVALUE("2024/11/22 00:00:00")</f>
        <v>45618</v>
      </c>
      <c r="L322" s="4">
        <v>36187.800000000003</v>
      </c>
      <c r="M322" s="4">
        <v>36187.800000000003</v>
      </c>
      <c r="N322" t="s">
        <v>26</v>
      </c>
      <c r="O322" s="4">
        <v>16291</v>
      </c>
      <c r="P322" s="4">
        <v>0</v>
      </c>
      <c r="Q322" s="4">
        <v>16291</v>
      </c>
      <c r="R322" t="s">
        <v>27</v>
      </c>
      <c r="S322" t="s">
        <v>1</v>
      </c>
    </row>
    <row r="323" spans="1:19" x14ac:dyDescent="0.25">
      <c r="A323" t="s">
        <v>495</v>
      </c>
      <c r="B323" t="s">
        <v>496</v>
      </c>
      <c r="C323" t="s">
        <v>40</v>
      </c>
      <c r="D323" t="s">
        <v>41</v>
      </c>
      <c r="E323" t="s">
        <v>22</v>
      </c>
      <c r="F323" t="s">
        <v>23</v>
      </c>
      <c r="G323" t="s">
        <v>538</v>
      </c>
      <c r="H323" t="s">
        <v>539</v>
      </c>
      <c r="I323" s="3">
        <f>DATEVALUE("2024/05/21 00:00:00")</f>
        <v>45433</v>
      </c>
      <c r="J323" s="3">
        <f>DATEVALUE("2024/11/22 00:00:00")</f>
        <v>45618</v>
      </c>
      <c r="K323" s="3">
        <f>DATEVALUE("2024/11/29 00:00:00")</f>
        <v>45625</v>
      </c>
      <c r="L323" s="4">
        <v>11544.4</v>
      </c>
      <c r="M323" s="4">
        <v>0</v>
      </c>
      <c r="N323" t="s">
        <v>26</v>
      </c>
      <c r="O323" s="4">
        <v>4708.2</v>
      </c>
      <c r="P323" s="4">
        <v>4478.9399999999996</v>
      </c>
      <c r="Q323" s="4">
        <v>0</v>
      </c>
      <c r="R323" t="s">
        <v>34</v>
      </c>
      <c r="S323" t="s">
        <v>35</v>
      </c>
    </row>
    <row r="324" spans="1:19" x14ac:dyDescent="0.25">
      <c r="A324" t="s">
        <v>495</v>
      </c>
      <c r="B324" t="s">
        <v>496</v>
      </c>
      <c r="C324" t="s">
        <v>20</v>
      </c>
      <c r="D324" t="s">
        <v>21</v>
      </c>
      <c r="E324" t="s">
        <v>22</v>
      </c>
      <c r="F324" t="s">
        <v>23</v>
      </c>
      <c r="G324" t="s">
        <v>540</v>
      </c>
      <c r="H324" t="s">
        <v>541</v>
      </c>
      <c r="I324" s="3">
        <f>DATEVALUE("2024/03/28 00:00:00")</f>
        <v>45379</v>
      </c>
      <c r="J324" s="3">
        <f>DATEVALUE("2024/06/21 00:00:00")</f>
        <v>45464</v>
      </c>
      <c r="K324" s="3">
        <f>DATEVALUE("2024/06/28 00:00:00")</f>
        <v>45471</v>
      </c>
      <c r="L324" s="4">
        <v>34613.760000000002</v>
      </c>
      <c r="M324" s="4">
        <v>0</v>
      </c>
      <c r="N324" t="s">
        <v>26</v>
      </c>
      <c r="O324" s="4">
        <v>18699.36</v>
      </c>
      <c r="P324" s="4">
        <v>17164</v>
      </c>
      <c r="Q324" s="4">
        <v>0</v>
      </c>
      <c r="R324" t="s">
        <v>34</v>
      </c>
      <c r="S324" t="s">
        <v>35</v>
      </c>
    </row>
    <row r="325" spans="1:19" x14ac:dyDescent="0.25">
      <c r="A325" t="s">
        <v>495</v>
      </c>
      <c r="B325" t="s">
        <v>496</v>
      </c>
      <c r="C325" t="s">
        <v>20</v>
      </c>
      <c r="D325" t="s">
        <v>21</v>
      </c>
      <c r="E325" t="s">
        <v>22</v>
      </c>
      <c r="F325" t="s">
        <v>23</v>
      </c>
      <c r="G325" t="s">
        <v>540</v>
      </c>
      <c r="H325" t="s">
        <v>541</v>
      </c>
      <c r="I325" s="3">
        <f>DATEVALUE("2024/03/28 00:00:00")</f>
        <v>45379</v>
      </c>
      <c r="J325" s="3">
        <f>DATEVALUE("2024/07/19 00:00:00")</f>
        <v>45492</v>
      </c>
      <c r="K325" s="3">
        <f>DATEVALUE("2024/06/28 00:00:00")</f>
        <v>45471</v>
      </c>
      <c r="L325" s="4">
        <v>11923.2</v>
      </c>
      <c r="M325" s="4">
        <v>0</v>
      </c>
      <c r="N325" t="s">
        <v>26</v>
      </c>
      <c r="O325" s="4">
        <v>5097.6000000000004</v>
      </c>
      <c r="P325" s="4">
        <v>4597.5200000000004</v>
      </c>
      <c r="Q325" s="4">
        <v>0</v>
      </c>
      <c r="R325" t="s">
        <v>34</v>
      </c>
      <c r="S325" t="s">
        <v>35</v>
      </c>
    </row>
    <row r="326" spans="1:19" x14ac:dyDescent="0.25">
      <c r="A326" t="s">
        <v>495</v>
      </c>
      <c r="B326" t="s">
        <v>496</v>
      </c>
      <c r="C326" t="s">
        <v>20</v>
      </c>
      <c r="D326" t="s">
        <v>21</v>
      </c>
      <c r="E326" t="s">
        <v>22</v>
      </c>
      <c r="F326" t="s">
        <v>23</v>
      </c>
      <c r="G326" t="s">
        <v>542</v>
      </c>
      <c r="H326" t="s">
        <v>543</v>
      </c>
      <c r="I326" s="3">
        <f>DATEVALUE("2024/03/28 00:00:00")</f>
        <v>45379</v>
      </c>
      <c r="J326" s="3">
        <f>DATEVALUE("2024/06/28 00:00:00")</f>
        <v>45471</v>
      </c>
      <c r="K326" s="3">
        <f>DATEVALUE("2024/06/28 00:00:00")</f>
        <v>45471</v>
      </c>
      <c r="L326" s="4">
        <v>3974.4</v>
      </c>
      <c r="M326" s="4">
        <v>0</v>
      </c>
      <c r="N326" t="s">
        <v>26</v>
      </c>
      <c r="O326" s="4">
        <v>1699.2</v>
      </c>
      <c r="P326" s="4">
        <v>1581.2</v>
      </c>
      <c r="Q326" s="4">
        <v>0</v>
      </c>
      <c r="R326" t="s">
        <v>34</v>
      </c>
      <c r="S326" t="s">
        <v>35</v>
      </c>
    </row>
    <row r="327" spans="1:19" x14ac:dyDescent="0.25">
      <c r="A327" t="s">
        <v>495</v>
      </c>
      <c r="B327" t="s">
        <v>496</v>
      </c>
      <c r="C327" t="s">
        <v>20</v>
      </c>
      <c r="D327" t="s">
        <v>21</v>
      </c>
      <c r="E327" t="s">
        <v>22</v>
      </c>
      <c r="F327" t="s">
        <v>23</v>
      </c>
      <c r="G327" t="s">
        <v>542</v>
      </c>
      <c r="H327" t="s">
        <v>543</v>
      </c>
      <c r="I327" s="3">
        <f>DATEVALUE("2024/03/28 00:00:00")</f>
        <v>45379</v>
      </c>
      <c r="J327" s="3">
        <f>DATEVALUE("2024/06/21 00:00:00")</f>
        <v>45464</v>
      </c>
      <c r="K327" s="3">
        <f>DATEVALUE("2024/06/28 00:00:00")</f>
        <v>45471</v>
      </c>
      <c r="L327" s="4">
        <v>39957.120000000003</v>
      </c>
      <c r="M327" s="4">
        <v>0</v>
      </c>
      <c r="N327" t="s">
        <v>26</v>
      </c>
      <c r="O327" s="4">
        <v>21504</v>
      </c>
      <c r="P327" s="4">
        <v>20426.11</v>
      </c>
      <c r="Q327" s="4">
        <v>0</v>
      </c>
      <c r="R327" t="s">
        <v>34</v>
      </c>
      <c r="S327" t="s">
        <v>35</v>
      </c>
    </row>
    <row r="328" spans="1:19" x14ac:dyDescent="0.25">
      <c r="A328" t="s">
        <v>544</v>
      </c>
      <c r="B328" t="s">
        <v>545</v>
      </c>
      <c r="C328" t="s">
        <v>30</v>
      </c>
      <c r="D328" t="s">
        <v>31</v>
      </c>
      <c r="E328" t="s">
        <v>22</v>
      </c>
      <c r="F328" t="s">
        <v>23</v>
      </c>
      <c r="G328" t="s">
        <v>546</v>
      </c>
      <c r="H328" t="s">
        <v>547</v>
      </c>
      <c r="I328" s="3">
        <f>DATEVALUE("2024/05/31 00:00:00")</f>
        <v>45443</v>
      </c>
      <c r="J328" s="3">
        <f>DATEVALUE("2024/08/30 00:00:00")</f>
        <v>45534</v>
      </c>
      <c r="K328" s="3">
        <f>DATEVALUE("2024/09/07 00:00:00")</f>
        <v>45542</v>
      </c>
      <c r="L328" s="4">
        <v>1589.28</v>
      </c>
      <c r="M328" s="4">
        <v>0</v>
      </c>
      <c r="N328" t="s">
        <v>26</v>
      </c>
      <c r="O328" s="4">
        <v>458.64</v>
      </c>
      <c r="P328" s="4">
        <v>474.25</v>
      </c>
      <c r="Q328" s="4">
        <v>0</v>
      </c>
      <c r="R328" t="s">
        <v>34</v>
      </c>
      <c r="S328" t="s">
        <v>35</v>
      </c>
    </row>
    <row r="329" spans="1:19" x14ac:dyDescent="0.25">
      <c r="A329" t="s">
        <v>544</v>
      </c>
      <c r="B329" t="s">
        <v>545</v>
      </c>
      <c r="C329" t="s">
        <v>106</v>
      </c>
      <c r="D329" t="s">
        <v>107</v>
      </c>
      <c r="E329" t="s">
        <v>22</v>
      </c>
      <c r="F329" t="s">
        <v>23</v>
      </c>
      <c r="G329" t="s">
        <v>548</v>
      </c>
      <c r="H329" t="s">
        <v>549</v>
      </c>
      <c r="I329" s="3">
        <f>DATEVALUE("2024/05/06 00:00:00")</f>
        <v>45418</v>
      </c>
      <c r="J329" s="3">
        <f>DATEVALUE("2024/08/16 00:00:00")</f>
        <v>45520</v>
      </c>
      <c r="K329" s="3">
        <f>DATEVALUE("2024/08/23 00:00:00")</f>
        <v>45527</v>
      </c>
      <c r="L329" s="4">
        <v>70996.83</v>
      </c>
      <c r="M329" s="4">
        <v>0</v>
      </c>
      <c r="N329" t="s">
        <v>64</v>
      </c>
      <c r="O329" s="4">
        <v>33645</v>
      </c>
      <c r="P329" s="4">
        <v>33881.14</v>
      </c>
      <c r="Q329" s="4">
        <v>0</v>
      </c>
      <c r="R329" t="s">
        <v>34</v>
      </c>
      <c r="S329" t="s">
        <v>35</v>
      </c>
    </row>
    <row r="330" spans="1:19" x14ac:dyDescent="0.25">
      <c r="A330" t="s">
        <v>544</v>
      </c>
      <c r="B330" t="s">
        <v>545</v>
      </c>
      <c r="C330" t="s">
        <v>106</v>
      </c>
      <c r="D330" t="s">
        <v>107</v>
      </c>
      <c r="E330" t="s">
        <v>22</v>
      </c>
      <c r="F330" t="s">
        <v>23</v>
      </c>
      <c r="G330" t="s">
        <v>550</v>
      </c>
      <c r="H330" t="s">
        <v>551</v>
      </c>
      <c r="I330" s="3">
        <f>DATEVALUE("2024/07/09 00:00:00")</f>
        <v>45482</v>
      </c>
      <c r="J330" s="3">
        <f>DATEVALUE("2024/10/25 00:00:00")</f>
        <v>45590</v>
      </c>
      <c r="K330" s="3">
        <f>DATEVALUE("2024/11/01 00:00:00")</f>
        <v>45597</v>
      </c>
      <c r="L330" s="4">
        <v>18130.560000000001</v>
      </c>
      <c r="M330" s="4">
        <v>10800.16</v>
      </c>
      <c r="N330" t="s">
        <v>64</v>
      </c>
      <c r="O330" s="4">
        <v>9454.08</v>
      </c>
      <c r="P330" s="4">
        <v>3448.03</v>
      </c>
      <c r="Q330" s="4">
        <v>6006.05</v>
      </c>
      <c r="R330" t="s">
        <v>27</v>
      </c>
      <c r="S330" t="s">
        <v>552</v>
      </c>
    </row>
    <row r="331" spans="1:19" x14ac:dyDescent="0.25">
      <c r="A331" t="s">
        <v>544</v>
      </c>
      <c r="B331" t="s">
        <v>545</v>
      </c>
      <c r="C331" t="s">
        <v>106</v>
      </c>
      <c r="D331" t="s">
        <v>107</v>
      </c>
      <c r="E331" t="s">
        <v>22</v>
      </c>
      <c r="F331" t="s">
        <v>23</v>
      </c>
      <c r="G331" t="s">
        <v>550</v>
      </c>
      <c r="H331" t="s">
        <v>551</v>
      </c>
      <c r="I331" s="3">
        <f>DATEVALUE("2024/07/09 00:00:00")</f>
        <v>45482</v>
      </c>
      <c r="J331" s="3">
        <f>DATEVALUE("2024/10/25 00:00:00")</f>
        <v>45590</v>
      </c>
      <c r="K331" s="3">
        <f>DATEVALUE("2024/11/01 00:00:00")</f>
        <v>45597</v>
      </c>
      <c r="L331" s="4">
        <v>54643</v>
      </c>
      <c r="M331" s="4">
        <v>0</v>
      </c>
      <c r="N331" t="s">
        <v>64</v>
      </c>
      <c r="O331" s="4">
        <v>30660.95</v>
      </c>
      <c r="P331" s="4">
        <v>31051.86</v>
      </c>
      <c r="Q331" s="4">
        <v>0</v>
      </c>
      <c r="R331" t="s">
        <v>34</v>
      </c>
      <c r="S331" t="s">
        <v>35</v>
      </c>
    </row>
    <row r="332" spans="1:19" x14ac:dyDescent="0.25">
      <c r="A332" t="s">
        <v>544</v>
      </c>
      <c r="B332" t="s">
        <v>545</v>
      </c>
      <c r="C332" t="s">
        <v>106</v>
      </c>
      <c r="D332" t="s">
        <v>107</v>
      </c>
      <c r="E332" t="s">
        <v>22</v>
      </c>
      <c r="F332" t="s">
        <v>23</v>
      </c>
      <c r="G332" t="s">
        <v>553</v>
      </c>
      <c r="H332" t="s">
        <v>554</v>
      </c>
      <c r="I332" s="3">
        <f>DATEVALUE("2024/07/11 00:00:00")</f>
        <v>45484</v>
      </c>
      <c r="J332" s="3">
        <f>DATEVALUE("2024/10/18 00:00:00")</f>
        <v>45583</v>
      </c>
      <c r="K332" s="3">
        <f>DATEVALUE("2024/11/01 00:00:00")</f>
        <v>45597</v>
      </c>
      <c r="L332" s="4">
        <v>3239.04</v>
      </c>
      <c r="M332" s="4">
        <v>3239.04</v>
      </c>
      <c r="N332" t="s">
        <v>64</v>
      </c>
      <c r="O332" s="4">
        <v>1087.68</v>
      </c>
      <c r="P332" s="4">
        <v>0</v>
      </c>
      <c r="Q332" s="4">
        <v>1087.68</v>
      </c>
      <c r="R332" t="s">
        <v>27</v>
      </c>
      <c r="S332" t="s">
        <v>1</v>
      </c>
    </row>
    <row r="333" spans="1:19" x14ac:dyDescent="0.25">
      <c r="A333" t="s">
        <v>544</v>
      </c>
      <c r="B333" t="s">
        <v>545</v>
      </c>
      <c r="C333" t="s">
        <v>106</v>
      </c>
      <c r="D333" t="s">
        <v>107</v>
      </c>
      <c r="E333" t="s">
        <v>22</v>
      </c>
      <c r="F333" t="s">
        <v>23</v>
      </c>
      <c r="G333" t="s">
        <v>555</v>
      </c>
      <c r="H333" t="s">
        <v>556</v>
      </c>
      <c r="I333" s="3">
        <f>DATEVALUE("2024/08/01 00:00:00")</f>
        <v>45505</v>
      </c>
      <c r="J333" s="3">
        <f>DATEVALUE("2024/11/01 00:00:00")</f>
        <v>45597</v>
      </c>
      <c r="K333" s="3">
        <f>DATEVALUE("2024/11/08 00:00:00")</f>
        <v>45604</v>
      </c>
      <c r="L333" s="4">
        <v>941.2</v>
      </c>
      <c r="M333" s="4">
        <v>941.2</v>
      </c>
      <c r="N333" t="s">
        <v>64</v>
      </c>
      <c r="O333" s="4">
        <v>373.1</v>
      </c>
      <c r="P333" s="4">
        <v>0</v>
      </c>
      <c r="Q333" s="4">
        <v>373.1</v>
      </c>
      <c r="R333" t="s">
        <v>27</v>
      </c>
      <c r="S333" t="s">
        <v>1</v>
      </c>
    </row>
    <row r="334" spans="1:19" x14ac:dyDescent="0.25">
      <c r="A334" t="s">
        <v>544</v>
      </c>
      <c r="B334" t="s">
        <v>545</v>
      </c>
      <c r="C334" t="s">
        <v>106</v>
      </c>
      <c r="D334" t="s">
        <v>107</v>
      </c>
      <c r="E334" t="s">
        <v>22</v>
      </c>
      <c r="F334" t="s">
        <v>23</v>
      </c>
      <c r="G334" t="s">
        <v>555</v>
      </c>
      <c r="H334" t="s">
        <v>556</v>
      </c>
      <c r="I334" s="3">
        <f>DATEVALUE("2024/08/01 00:00:00")</f>
        <v>45505</v>
      </c>
      <c r="J334" s="3">
        <f>DATEVALUE("2024/11/01 00:00:00")</f>
        <v>45597</v>
      </c>
      <c r="K334" s="3">
        <f>DATEVALUE("2024/11/08 00:00:00")</f>
        <v>45604</v>
      </c>
      <c r="L334" s="4">
        <v>4051</v>
      </c>
      <c r="M334" s="4">
        <v>0</v>
      </c>
      <c r="N334" t="s">
        <v>64</v>
      </c>
      <c r="O334" s="4">
        <v>2268</v>
      </c>
      <c r="P334" s="4">
        <v>2253.16</v>
      </c>
      <c r="Q334" s="4">
        <v>0</v>
      </c>
      <c r="R334" t="s">
        <v>34</v>
      </c>
      <c r="S334" t="s">
        <v>35</v>
      </c>
    </row>
    <row r="335" spans="1:19" x14ac:dyDescent="0.25">
      <c r="A335" t="s">
        <v>544</v>
      </c>
      <c r="B335" t="s">
        <v>545</v>
      </c>
      <c r="C335" t="s">
        <v>106</v>
      </c>
      <c r="D335" t="s">
        <v>107</v>
      </c>
      <c r="E335" t="s">
        <v>22</v>
      </c>
      <c r="F335" t="s">
        <v>23</v>
      </c>
      <c r="G335" t="s">
        <v>555</v>
      </c>
      <c r="H335" t="s">
        <v>556</v>
      </c>
      <c r="I335" s="3">
        <f>DATEVALUE("2024/08/01 00:00:00")</f>
        <v>45505</v>
      </c>
      <c r="J335" s="3">
        <f>DATEVALUE("2024/10/11 00:00:00")</f>
        <v>45576</v>
      </c>
      <c r="K335" s="3">
        <f>DATEVALUE("2024/10/21 00:00:00")</f>
        <v>45586</v>
      </c>
      <c r="L335" s="4">
        <v>6197</v>
      </c>
      <c r="M335" s="4">
        <v>0</v>
      </c>
      <c r="N335" t="s">
        <v>64</v>
      </c>
      <c r="O335" s="4">
        <v>3984.5</v>
      </c>
      <c r="P335" s="4">
        <v>4154.8900000000003</v>
      </c>
      <c r="Q335" s="4">
        <v>0</v>
      </c>
      <c r="R335" t="s">
        <v>34</v>
      </c>
      <c r="S335" t="s">
        <v>35</v>
      </c>
    </row>
    <row r="336" spans="1:19" x14ac:dyDescent="0.25">
      <c r="A336" t="s">
        <v>544</v>
      </c>
      <c r="B336" t="s">
        <v>545</v>
      </c>
      <c r="C336" t="s">
        <v>106</v>
      </c>
      <c r="D336" t="s">
        <v>107</v>
      </c>
      <c r="E336" t="s">
        <v>22</v>
      </c>
      <c r="F336" t="s">
        <v>23</v>
      </c>
      <c r="G336" t="s">
        <v>557</v>
      </c>
      <c r="H336" t="s">
        <v>558</v>
      </c>
      <c r="I336" s="3">
        <f>DATEVALUE("2024/09/13 00:00:00")</f>
        <v>45548</v>
      </c>
      <c r="J336" s="3">
        <f>DATEVALUE("2024/12/13 00:00:00")</f>
        <v>45639</v>
      </c>
      <c r="K336" s="3">
        <f>DATEVALUE("2024/12/20 00:00:00")</f>
        <v>45646</v>
      </c>
      <c r="L336" s="4">
        <v>54191</v>
      </c>
      <c r="M336" s="4">
        <v>54191</v>
      </c>
      <c r="N336" t="s">
        <v>64</v>
      </c>
      <c r="O336" s="4">
        <v>28109.42</v>
      </c>
      <c r="P336" s="4">
        <v>0</v>
      </c>
      <c r="Q336" s="4">
        <v>28109.42</v>
      </c>
      <c r="R336" t="s">
        <v>27</v>
      </c>
      <c r="S336" t="s">
        <v>1</v>
      </c>
    </row>
    <row r="337" spans="1:19" x14ac:dyDescent="0.25">
      <c r="A337" t="s">
        <v>544</v>
      </c>
      <c r="B337" t="s">
        <v>545</v>
      </c>
      <c r="C337" t="s">
        <v>106</v>
      </c>
      <c r="D337" t="s">
        <v>107</v>
      </c>
      <c r="E337" t="s">
        <v>22</v>
      </c>
      <c r="F337" t="s">
        <v>23</v>
      </c>
      <c r="G337" t="s">
        <v>559</v>
      </c>
      <c r="H337" t="s">
        <v>560</v>
      </c>
      <c r="I337" s="3">
        <f>DATEVALUE("2024/09/18 00:00:00")</f>
        <v>45553</v>
      </c>
      <c r="J337" s="3">
        <f>DATEVALUE("2024/12/10 00:00:00")</f>
        <v>45636</v>
      </c>
      <c r="K337" s="3">
        <f>DATEVALUE("2024/12/17 00:00:00")</f>
        <v>45643</v>
      </c>
      <c r="L337" s="4">
        <v>1512</v>
      </c>
      <c r="M337" s="4">
        <v>1512</v>
      </c>
      <c r="N337" t="s">
        <v>64</v>
      </c>
      <c r="O337" s="4">
        <v>504</v>
      </c>
      <c r="P337" s="4">
        <v>0</v>
      </c>
      <c r="Q337" s="4">
        <v>504</v>
      </c>
      <c r="R337" t="s">
        <v>27</v>
      </c>
      <c r="S337" t="s">
        <v>1</v>
      </c>
    </row>
    <row r="338" spans="1:19" x14ac:dyDescent="0.25">
      <c r="A338" t="s">
        <v>544</v>
      </c>
      <c r="B338" t="s">
        <v>545</v>
      </c>
      <c r="C338" t="s">
        <v>561</v>
      </c>
      <c r="D338" t="s">
        <v>562</v>
      </c>
      <c r="E338" t="s">
        <v>22</v>
      </c>
      <c r="F338" t="s">
        <v>23</v>
      </c>
      <c r="G338" t="s">
        <v>563</v>
      </c>
      <c r="H338" t="s">
        <v>564</v>
      </c>
      <c r="I338" s="3">
        <f>DATEVALUE("2024/09/12 00:00:00")</f>
        <v>45547</v>
      </c>
      <c r="J338" s="3">
        <f>DATEVALUE("2024/11/25 00:00:00")</f>
        <v>45621</v>
      </c>
      <c r="K338" s="3">
        <f>DATEVALUE("2024/12/02 00:00:00")</f>
        <v>45628</v>
      </c>
      <c r="L338" s="4">
        <v>1605.24</v>
      </c>
      <c r="M338" s="4">
        <v>1605.24</v>
      </c>
      <c r="N338" t="s">
        <v>64</v>
      </c>
      <c r="O338" s="4">
        <v>520.91999999999996</v>
      </c>
      <c r="P338" s="4">
        <v>0</v>
      </c>
      <c r="Q338" s="4">
        <v>520.91999999999996</v>
      </c>
      <c r="R338" t="s">
        <v>27</v>
      </c>
      <c r="S338" t="s">
        <v>1</v>
      </c>
    </row>
    <row r="339" spans="1:19" x14ac:dyDescent="0.25">
      <c r="A339" t="s">
        <v>544</v>
      </c>
      <c r="B339" t="s">
        <v>545</v>
      </c>
      <c r="C339" t="s">
        <v>60</v>
      </c>
      <c r="D339" t="s">
        <v>61</v>
      </c>
      <c r="E339" t="s">
        <v>22</v>
      </c>
      <c r="F339" t="s">
        <v>23</v>
      </c>
      <c r="G339" t="s">
        <v>565</v>
      </c>
      <c r="H339" t="s">
        <v>566</v>
      </c>
      <c r="I339" s="3">
        <f>DATEVALUE("2024/04/23 00:00:00")</f>
        <v>45405</v>
      </c>
      <c r="J339" s="3">
        <f>DATEVALUE("2024/07/19 00:00:00")</f>
        <v>45492</v>
      </c>
      <c r="K339" s="3">
        <f>DATEVALUE("2024/07/26 00:00:00")</f>
        <v>45499</v>
      </c>
      <c r="L339" s="4">
        <v>570</v>
      </c>
      <c r="M339" s="4">
        <v>0</v>
      </c>
      <c r="N339" t="s">
        <v>64</v>
      </c>
      <c r="O339" s="4">
        <v>383</v>
      </c>
      <c r="P339" s="4">
        <v>396.9</v>
      </c>
      <c r="Q339" s="4">
        <v>0</v>
      </c>
      <c r="R339" t="s">
        <v>34</v>
      </c>
      <c r="S339" t="s">
        <v>35</v>
      </c>
    </row>
    <row r="340" spans="1:19" x14ac:dyDescent="0.25">
      <c r="A340" t="s">
        <v>544</v>
      </c>
      <c r="B340" t="s">
        <v>545</v>
      </c>
      <c r="C340" t="s">
        <v>60</v>
      </c>
      <c r="D340" t="s">
        <v>61</v>
      </c>
      <c r="E340" t="s">
        <v>22</v>
      </c>
      <c r="F340" t="s">
        <v>23</v>
      </c>
      <c r="G340" t="s">
        <v>567</v>
      </c>
      <c r="H340" t="s">
        <v>568</v>
      </c>
      <c r="I340" s="3">
        <f>DATEVALUE("2024/05/08 00:00:00")</f>
        <v>45420</v>
      </c>
      <c r="J340" s="3">
        <f>DATEVALUE("2024/11/15 00:00:00")</f>
        <v>45611</v>
      </c>
      <c r="K340" s="3">
        <f>DATEVALUE("2024/11/22 00:00:00")</f>
        <v>45618</v>
      </c>
      <c r="L340" s="4">
        <v>1713.6</v>
      </c>
      <c r="M340" s="4">
        <v>1713.6</v>
      </c>
      <c r="N340" t="s">
        <v>64</v>
      </c>
      <c r="O340" s="4">
        <v>918</v>
      </c>
      <c r="P340" s="4">
        <v>0</v>
      </c>
      <c r="Q340" s="4">
        <v>918</v>
      </c>
      <c r="R340" t="s">
        <v>27</v>
      </c>
      <c r="S340" t="s">
        <v>1</v>
      </c>
    </row>
    <row r="341" spans="1:19" x14ac:dyDescent="0.25">
      <c r="A341" t="s">
        <v>544</v>
      </c>
      <c r="B341" t="s">
        <v>545</v>
      </c>
      <c r="C341" t="s">
        <v>60</v>
      </c>
      <c r="D341" t="s">
        <v>61</v>
      </c>
      <c r="E341" t="s">
        <v>22</v>
      </c>
      <c r="F341" t="s">
        <v>23</v>
      </c>
      <c r="G341" t="s">
        <v>567</v>
      </c>
      <c r="H341" t="s">
        <v>568</v>
      </c>
      <c r="I341" s="3">
        <f>DATEVALUE("2024/05/08 00:00:00")</f>
        <v>45420</v>
      </c>
      <c r="J341" s="3">
        <f>DATEVALUE("2024/11/15 00:00:00")</f>
        <v>45611</v>
      </c>
      <c r="K341" s="3">
        <f>DATEVALUE("2024/11/22 00:00:00")</f>
        <v>45618</v>
      </c>
      <c r="L341" s="4">
        <v>51214</v>
      </c>
      <c r="M341" s="4">
        <v>0</v>
      </c>
      <c r="N341" t="s">
        <v>64</v>
      </c>
      <c r="O341" s="4">
        <v>23536.18</v>
      </c>
      <c r="P341" s="4">
        <v>23809.5</v>
      </c>
      <c r="Q341" s="4">
        <v>0</v>
      </c>
      <c r="R341" t="s">
        <v>34</v>
      </c>
      <c r="S341" t="s">
        <v>35</v>
      </c>
    </row>
    <row r="342" spans="1:19" x14ac:dyDescent="0.25">
      <c r="A342" t="s">
        <v>544</v>
      </c>
      <c r="B342" t="s">
        <v>545</v>
      </c>
      <c r="C342" t="s">
        <v>60</v>
      </c>
      <c r="D342" t="s">
        <v>61</v>
      </c>
      <c r="E342" t="s">
        <v>22</v>
      </c>
      <c r="F342" t="s">
        <v>23</v>
      </c>
      <c r="G342" t="s">
        <v>569</v>
      </c>
      <c r="H342" t="s">
        <v>570</v>
      </c>
      <c r="I342" s="3">
        <f>DATEVALUE("2024/06/20 00:00:00")</f>
        <v>45463</v>
      </c>
      <c r="J342" s="3">
        <f>DATEVALUE("2024/10/25 00:00:00")</f>
        <v>45590</v>
      </c>
      <c r="K342" s="3">
        <f>DATEVALUE("2024/11/15 00:00:00")</f>
        <v>45611</v>
      </c>
      <c r="L342" s="4">
        <v>3957.72</v>
      </c>
      <c r="M342" s="4">
        <v>0</v>
      </c>
      <c r="N342" t="s">
        <v>64</v>
      </c>
      <c r="O342" s="4">
        <v>1922.62</v>
      </c>
      <c r="P342" s="4">
        <v>1928.16</v>
      </c>
      <c r="Q342" s="4">
        <v>0</v>
      </c>
      <c r="R342" t="s">
        <v>34</v>
      </c>
      <c r="S342" t="s">
        <v>35</v>
      </c>
    </row>
    <row r="343" spans="1:19" x14ac:dyDescent="0.25">
      <c r="A343" t="s">
        <v>544</v>
      </c>
      <c r="B343" t="s">
        <v>545</v>
      </c>
      <c r="C343" t="s">
        <v>60</v>
      </c>
      <c r="D343" t="s">
        <v>61</v>
      </c>
      <c r="E343" t="s">
        <v>22</v>
      </c>
      <c r="F343" t="s">
        <v>23</v>
      </c>
      <c r="G343" t="s">
        <v>571</v>
      </c>
      <c r="H343" t="s">
        <v>572</v>
      </c>
      <c r="I343" s="3">
        <f>DATEVALUE("2024/06/20 00:00:00")</f>
        <v>45463</v>
      </c>
      <c r="J343" s="3">
        <f>DATEVALUE("2024/10/25 00:00:00")</f>
        <v>45590</v>
      </c>
      <c r="K343" s="3">
        <f>DATEVALUE("2024/11/15 00:00:00")</f>
        <v>45611</v>
      </c>
      <c r="L343" s="4">
        <v>5334.88</v>
      </c>
      <c r="M343" s="4">
        <v>0</v>
      </c>
      <c r="N343" t="s">
        <v>64</v>
      </c>
      <c r="O343" s="4">
        <v>2475.29</v>
      </c>
      <c r="P343" s="4">
        <v>2524.0500000000002</v>
      </c>
      <c r="Q343" s="4">
        <v>0</v>
      </c>
      <c r="R343" t="s">
        <v>34</v>
      </c>
      <c r="S343" t="s">
        <v>35</v>
      </c>
    </row>
    <row r="344" spans="1:19" x14ac:dyDescent="0.25">
      <c r="A344" t="s">
        <v>544</v>
      </c>
      <c r="B344" t="s">
        <v>545</v>
      </c>
      <c r="C344" t="s">
        <v>60</v>
      </c>
      <c r="D344" t="s">
        <v>61</v>
      </c>
      <c r="E344" t="s">
        <v>22</v>
      </c>
      <c r="F344" t="s">
        <v>23</v>
      </c>
      <c r="G344" t="s">
        <v>573</v>
      </c>
      <c r="H344" t="s">
        <v>574</v>
      </c>
      <c r="I344" s="3">
        <f>DATEVALUE("2024/06/26 00:00:00")</f>
        <v>45469</v>
      </c>
      <c r="J344" s="3">
        <f>DATEVALUE("2024/10/18 00:00:00")</f>
        <v>45583</v>
      </c>
      <c r="K344" s="3">
        <f>DATEVALUE("2024/11/15 00:00:00")</f>
        <v>45611</v>
      </c>
      <c r="L344" s="4">
        <v>27467</v>
      </c>
      <c r="M344" s="4">
        <v>0</v>
      </c>
      <c r="N344" t="s">
        <v>64</v>
      </c>
      <c r="O344" s="4">
        <v>14332.8</v>
      </c>
      <c r="P344" s="4">
        <v>14741.3</v>
      </c>
      <c r="Q344" s="4">
        <v>0</v>
      </c>
      <c r="R344" t="s">
        <v>34</v>
      </c>
      <c r="S344" t="s">
        <v>35</v>
      </c>
    </row>
    <row r="345" spans="1:19" x14ac:dyDescent="0.25">
      <c r="A345" t="s">
        <v>544</v>
      </c>
      <c r="B345" t="s">
        <v>545</v>
      </c>
      <c r="C345" t="s">
        <v>60</v>
      </c>
      <c r="D345" t="s">
        <v>61</v>
      </c>
      <c r="E345" t="s">
        <v>22</v>
      </c>
      <c r="F345" t="s">
        <v>23</v>
      </c>
      <c r="G345" t="s">
        <v>575</v>
      </c>
      <c r="H345" t="s">
        <v>576</v>
      </c>
      <c r="I345" s="3">
        <f>DATEVALUE("2024/07/01 00:00:00")</f>
        <v>45474</v>
      </c>
      <c r="J345" s="3">
        <f>DATEVALUE("2024/10/11 00:00:00")</f>
        <v>45576</v>
      </c>
      <c r="K345" s="3">
        <f>DATEVALUE("2024/11/08 00:00:00")</f>
        <v>45604</v>
      </c>
      <c r="L345" s="4">
        <v>660</v>
      </c>
      <c r="M345" s="4">
        <v>660</v>
      </c>
      <c r="N345" t="s">
        <v>64</v>
      </c>
      <c r="O345" s="4">
        <v>330</v>
      </c>
      <c r="P345" s="4">
        <v>0</v>
      </c>
      <c r="Q345" s="4">
        <v>330</v>
      </c>
      <c r="R345" t="s">
        <v>27</v>
      </c>
      <c r="S345" t="s">
        <v>1</v>
      </c>
    </row>
    <row r="346" spans="1:19" x14ac:dyDescent="0.25">
      <c r="A346" t="s">
        <v>544</v>
      </c>
      <c r="B346" t="s">
        <v>545</v>
      </c>
      <c r="C346" t="s">
        <v>60</v>
      </c>
      <c r="D346" t="s">
        <v>61</v>
      </c>
      <c r="E346" t="s">
        <v>22</v>
      </c>
      <c r="F346" t="s">
        <v>23</v>
      </c>
      <c r="G346" t="s">
        <v>575</v>
      </c>
      <c r="H346" t="s">
        <v>576</v>
      </c>
      <c r="I346" s="3">
        <f>DATEVALUE("2024/07/01 00:00:00")</f>
        <v>45474</v>
      </c>
      <c r="J346" s="3">
        <f>DATEVALUE("2024/10/11 00:00:00")</f>
        <v>45576</v>
      </c>
      <c r="K346" s="3">
        <f>DATEVALUE("2024/11/08 00:00:00")</f>
        <v>45604</v>
      </c>
      <c r="L346" s="4">
        <v>14107</v>
      </c>
      <c r="M346" s="4">
        <v>0</v>
      </c>
      <c r="N346" t="s">
        <v>64</v>
      </c>
      <c r="O346" s="4">
        <v>7489.54</v>
      </c>
      <c r="P346" s="4">
        <v>7504.99</v>
      </c>
      <c r="Q346" s="4">
        <v>0</v>
      </c>
      <c r="R346" t="s">
        <v>34</v>
      </c>
      <c r="S346" t="s">
        <v>35</v>
      </c>
    </row>
    <row r="347" spans="1:19" x14ac:dyDescent="0.25">
      <c r="A347" t="s">
        <v>544</v>
      </c>
      <c r="B347" t="s">
        <v>545</v>
      </c>
      <c r="C347" t="s">
        <v>60</v>
      </c>
      <c r="D347" t="s">
        <v>61</v>
      </c>
      <c r="E347" t="s">
        <v>22</v>
      </c>
      <c r="F347" t="s">
        <v>23</v>
      </c>
      <c r="G347" t="s">
        <v>577</v>
      </c>
      <c r="H347" t="s">
        <v>578</v>
      </c>
      <c r="I347" s="3">
        <f>DATEVALUE("2024/07/08 00:00:00")</f>
        <v>45481</v>
      </c>
      <c r="J347" s="3">
        <f>DATEVALUE("2024/09/12 00:00:00")</f>
        <v>45547</v>
      </c>
      <c r="K347" s="3">
        <f>DATEVALUE("2024/10/04 00:00:00")</f>
        <v>45569</v>
      </c>
      <c r="L347" s="4">
        <v>3742</v>
      </c>
      <c r="M347" s="4">
        <v>0</v>
      </c>
      <c r="N347" t="s">
        <v>64</v>
      </c>
      <c r="O347" s="4">
        <v>2488.6</v>
      </c>
      <c r="P347" s="4">
        <v>2524.9699999999998</v>
      </c>
      <c r="Q347" s="4">
        <v>0</v>
      </c>
      <c r="R347" t="s">
        <v>34</v>
      </c>
      <c r="S347" t="s">
        <v>35</v>
      </c>
    </row>
    <row r="348" spans="1:19" x14ac:dyDescent="0.25">
      <c r="A348" t="s">
        <v>544</v>
      </c>
      <c r="B348" t="s">
        <v>545</v>
      </c>
      <c r="C348" t="s">
        <v>60</v>
      </c>
      <c r="D348" t="s">
        <v>61</v>
      </c>
      <c r="E348" t="s">
        <v>22</v>
      </c>
      <c r="F348" t="s">
        <v>23</v>
      </c>
      <c r="G348" t="s">
        <v>577</v>
      </c>
      <c r="H348" t="s">
        <v>578</v>
      </c>
      <c r="I348" s="3">
        <f>DATEVALUE("2024/07/08 00:00:00")</f>
        <v>45481</v>
      </c>
      <c r="J348" s="3">
        <f>DATEVALUE("2024/10/08 00:00:00")</f>
        <v>45573</v>
      </c>
      <c r="K348" s="3">
        <f>DATEVALUE("2024/10/18 00:00:00")</f>
        <v>45583</v>
      </c>
      <c r="L348" s="4">
        <v>1190</v>
      </c>
      <c r="M348" s="4">
        <v>0</v>
      </c>
      <c r="N348" t="s">
        <v>64</v>
      </c>
      <c r="O348" s="4">
        <v>586</v>
      </c>
      <c r="P348" s="4">
        <v>604.01</v>
      </c>
      <c r="Q348" s="4">
        <v>0</v>
      </c>
      <c r="R348" t="s">
        <v>34</v>
      </c>
      <c r="S348" t="s">
        <v>35</v>
      </c>
    </row>
    <row r="349" spans="1:19" x14ac:dyDescent="0.25">
      <c r="A349" t="s">
        <v>544</v>
      </c>
      <c r="B349" t="s">
        <v>545</v>
      </c>
      <c r="C349" t="s">
        <v>60</v>
      </c>
      <c r="D349" t="s">
        <v>61</v>
      </c>
      <c r="E349" t="s">
        <v>22</v>
      </c>
      <c r="F349" t="s">
        <v>23</v>
      </c>
      <c r="G349" t="s">
        <v>579</v>
      </c>
      <c r="H349" t="s">
        <v>580</v>
      </c>
      <c r="I349" s="3">
        <f>DATEVALUE("2024/07/18 00:00:00")</f>
        <v>45491</v>
      </c>
      <c r="J349" s="3">
        <f>DATEVALUE("2024/10/11 00:00:00")</f>
        <v>45576</v>
      </c>
      <c r="K349" s="3">
        <f>DATEVALUE("2024/11/08 00:00:00")</f>
        <v>45604</v>
      </c>
      <c r="L349" s="4">
        <v>3165.6</v>
      </c>
      <c r="M349" s="4">
        <v>0</v>
      </c>
      <c r="N349" t="s">
        <v>64</v>
      </c>
      <c r="O349" s="4">
        <v>1206.3599999999999</v>
      </c>
      <c r="P349" s="4">
        <v>1247.52</v>
      </c>
      <c r="Q349" s="4">
        <v>0</v>
      </c>
      <c r="R349" t="s">
        <v>34</v>
      </c>
      <c r="S349" t="s">
        <v>35</v>
      </c>
    </row>
    <row r="350" spans="1:19" x14ac:dyDescent="0.25">
      <c r="A350" t="s">
        <v>544</v>
      </c>
      <c r="B350" t="s">
        <v>545</v>
      </c>
      <c r="C350" t="s">
        <v>60</v>
      </c>
      <c r="D350" t="s">
        <v>61</v>
      </c>
      <c r="E350" t="s">
        <v>22</v>
      </c>
      <c r="F350" t="s">
        <v>23</v>
      </c>
      <c r="G350" t="s">
        <v>581</v>
      </c>
      <c r="H350" t="s">
        <v>582</v>
      </c>
      <c r="I350" s="3">
        <f>DATEVALUE("2024/08/07 00:00:00")</f>
        <v>45511</v>
      </c>
      <c r="J350" s="3">
        <f>DATEVALUE("2024/11/15 00:00:00")</f>
        <v>45611</v>
      </c>
      <c r="K350" s="3">
        <f>DATEVALUE("2024/12/06 00:00:00")</f>
        <v>45632</v>
      </c>
      <c r="L350" s="4">
        <v>760</v>
      </c>
      <c r="M350" s="4">
        <v>760</v>
      </c>
      <c r="N350" t="s">
        <v>64</v>
      </c>
      <c r="O350" s="4">
        <v>470</v>
      </c>
      <c r="P350" s="4">
        <v>0</v>
      </c>
      <c r="Q350" s="4">
        <v>470</v>
      </c>
      <c r="R350" t="s">
        <v>27</v>
      </c>
      <c r="S350" t="s">
        <v>1</v>
      </c>
    </row>
    <row r="351" spans="1:19" x14ac:dyDescent="0.25">
      <c r="A351" t="s">
        <v>544</v>
      </c>
      <c r="B351" t="s">
        <v>545</v>
      </c>
      <c r="C351" t="s">
        <v>60</v>
      </c>
      <c r="D351" t="s">
        <v>61</v>
      </c>
      <c r="E351" t="s">
        <v>22</v>
      </c>
      <c r="F351" t="s">
        <v>23</v>
      </c>
      <c r="G351" t="s">
        <v>581</v>
      </c>
      <c r="H351" t="s">
        <v>582</v>
      </c>
      <c r="I351" s="3">
        <f>DATEVALUE("2024/08/07 00:00:00")</f>
        <v>45511</v>
      </c>
      <c r="J351" s="3">
        <f>DATEVALUE("2024/11/04 00:00:00")</f>
        <v>45600</v>
      </c>
      <c r="K351" s="3">
        <f>DATEVALUE("2024/11/15 00:00:00")</f>
        <v>45611</v>
      </c>
      <c r="L351" s="4">
        <v>1260</v>
      </c>
      <c r="M351" s="4">
        <v>1260</v>
      </c>
      <c r="N351" t="s">
        <v>64</v>
      </c>
      <c r="O351" s="4">
        <v>300</v>
      </c>
      <c r="P351" s="4">
        <v>0</v>
      </c>
      <c r="Q351" s="4">
        <v>300</v>
      </c>
      <c r="R351" t="s">
        <v>27</v>
      </c>
      <c r="S351" t="s">
        <v>1</v>
      </c>
    </row>
    <row r="352" spans="1:19" x14ac:dyDescent="0.25">
      <c r="A352" t="s">
        <v>544</v>
      </c>
      <c r="B352" t="s">
        <v>545</v>
      </c>
      <c r="C352" t="s">
        <v>60</v>
      </c>
      <c r="D352" t="s">
        <v>61</v>
      </c>
      <c r="E352" t="s">
        <v>22</v>
      </c>
      <c r="F352" t="s">
        <v>23</v>
      </c>
      <c r="G352" t="s">
        <v>581</v>
      </c>
      <c r="H352" t="s">
        <v>582</v>
      </c>
      <c r="I352" s="3">
        <f>DATEVALUE("2024/08/07 00:00:00")</f>
        <v>45511</v>
      </c>
      <c r="J352" s="3">
        <f>DATEVALUE("2024/10/25 00:00:00")</f>
        <v>45590</v>
      </c>
      <c r="K352" s="3">
        <f>DATEVALUE("2024/11/15 00:00:00")</f>
        <v>45611</v>
      </c>
      <c r="L352" s="4">
        <v>16117</v>
      </c>
      <c r="M352" s="4">
        <v>0</v>
      </c>
      <c r="N352" t="s">
        <v>64</v>
      </c>
      <c r="O352" s="4">
        <v>9196.4</v>
      </c>
      <c r="P352" s="4">
        <v>9375.56</v>
      </c>
      <c r="Q352" s="4">
        <v>0</v>
      </c>
      <c r="R352" t="s">
        <v>34</v>
      </c>
      <c r="S352" t="s">
        <v>35</v>
      </c>
    </row>
    <row r="353" spans="1:19" x14ac:dyDescent="0.25">
      <c r="A353" t="s">
        <v>544</v>
      </c>
      <c r="B353" t="s">
        <v>545</v>
      </c>
      <c r="C353" t="s">
        <v>60</v>
      </c>
      <c r="D353" t="s">
        <v>61</v>
      </c>
      <c r="E353" t="s">
        <v>22</v>
      </c>
      <c r="F353" t="s">
        <v>23</v>
      </c>
      <c r="G353" t="s">
        <v>581</v>
      </c>
      <c r="H353" t="s">
        <v>582</v>
      </c>
      <c r="I353" s="3">
        <f>DATEVALUE("2024/08/07 00:00:00")</f>
        <v>45511</v>
      </c>
      <c r="J353" s="3">
        <f>DATEVALUE("2024/11/15 00:00:00")</f>
        <v>45611</v>
      </c>
      <c r="K353" s="3">
        <f>DATEVALUE("2024/12/06 00:00:00")</f>
        <v>45632</v>
      </c>
      <c r="L353" s="4">
        <v>780</v>
      </c>
      <c r="M353" s="4">
        <v>0</v>
      </c>
      <c r="N353" t="s">
        <v>64</v>
      </c>
      <c r="O353" s="4">
        <v>313.5</v>
      </c>
      <c r="P353" s="4">
        <v>308.88</v>
      </c>
      <c r="Q353" s="4">
        <v>0</v>
      </c>
      <c r="R353" t="s">
        <v>34</v>
      </c>
      <c r="S353" t="s">
        <v>35</v>
      </c>
    </row>
    <row r="354" spans="1:19" x14ac:dyDescent="0.25">
      <c r="A354" t="s">
        <v>544</v>
      </c>
      <c r="B354" t="s">
        <v>545</v>
      </c>
      <c r="C354" t="s">
        <v>60</v>
      </c>
      <c r="D354" t="s">
        <v>61</v>
      </c>
      <c r="E354" t="s">
        <v>22</v>
      </c>
      <c r="F354" t="s">
        <v>23</v>
      </c>
      <c r="G354" t="s">
        <v>583</v>
      </c>
      <c r="H354" t="s">
        <v>584</v>
      </c>
      <c r="I354" s="3">
        <f>DATEVALUE("2024/08/21 00:00:00")</f>
        <v>45525</v>
      </c>
      <c r="J354" s="3">
        <f>DATEVALUE("2024/11/08 00:00:00")</f>
        <v>45604</v>
      </c>
      <c r="K354" s="3">
        <f>DATEVALUE("2024/12/06 00:00:00")</f>
        <v>45632</v>
      </c>
      <c r="L354" s="4">
        <v>7077</v>
      </c>
      <c r="M354" s="4">
        <v>7077</v>
      </c>
      <c r="N354" t="s">
        <v>64</v>
      </c>
      <c r="O354" s="4">
        <v>4533</v>
      </c>
      <c r="P354" s="4">
        <v>0</v>
      </c>
      <c r="Q354" s="4">
        <v>4533</v>
      </c>
      <c r="R354" t="s">
        <v>27</v>
      </c>
      <c r="S354" t="s">
        <v>1</v>
      </c>
    </row>
    <row r="355" spans="1:19" x14ac:dyDescent="0.25">
      <c r="A355" t="s">
        <v>544</v>
      </c>
      <c r="B355" t="s">
        <v>545</v>
      </c>
      <c r="C355" t="s">
        <v>60</v>
      </c>
      <c r="D355" t="s">
        <v>61</v>
      </c>
      <c r="E355" t="s">
        <v>22</v>
      </c>
      <c r="F355" t="s">
        <v>23</v>
      </c>
      <c r="G355" t="s">
        <v>585</v>
      </c>
      <c r="H355" t="s">
        <v>586</v>
      </c>
      <c r="I355" s="3">
        <f>DATEVALUE("2024/09/16 00:00:00")</f>
        <v>45551</v>
      </c>
      <c r="J355" s="3">
        <f>DATEVALUE("2024/11/22 00:00:00")</f>
        <v>45618</v>
      </c>
      <c r="K355" s="3">
        <f>DATEVALUE("2024/12/20 00:00:00")</f>
        <v>45646</v>
      </c>
      <c r="L355" s="4">
        <v>23302.799999999999</v>
      </c>
      <c r="M355" s="4">
        <v>23302.799999999999</v>
      </c>
      <c r="N355" t="s">
        <v>64</v>
      </c>
      <c r="O355" s="4">
        <v>11884.56</v>
      </c>
      <c r="P355" s="4">
        <v>0</v>
      </c>
      <c r="Q355" s="4">
        <v>11884.56</v>
      </c>
      <c r="R355" t="s">
        <v>27</v>
      </c>
      <c r="S355" t="s">
        <v>1</v>
      </c>
    </row>
    <row r="356" spans="1:19" x14ac:dyDescent="0.25">
      <c r="A356" t="s">
        <v>544</v>
      </c>
      <c r="B356" t="s">
        <v>545</v>
      </c>
      <c r="C356" t="s">
        <v>60</v>
      </c>
      <c r="D356" t="s">
        <v>61</v>
      </c>
      <c r="E356" t="s">
        <v>22</v>
      </c>
      <c r="F356" t="s">
        <v>23</v>
      </c>
      <c r="G356" t="s">
        <v>587</v>
      </c>
      <c r="H356" t="s">
        <v>588</v>
      </c>
      <c r="I356" s="3">
        <f>DATEVALUE("2024/09/18 00:00:00")</f>
        <v>45553</v>
      </c>
      <c r="J356" s="3">
        <f>DATEVALUE("2024/12/18 00:00:00")</f>
        <v>45644</v>
      </c>
      <c r="K356" s="3">
        <f>DATEVALUE("2024/12/25 00:00:00")</f>
        <v>45651</v>
      </c>
      <c r="L356" s="4">
        <v>900</v>
      </c>
      <c r="M356" s="4">
        <v>900</v>
      </c>
      <c r="N356" t="s">
        <v>64</v>
      </c>
      <c r="O356" s="4">
        <v>678</v>
      </c>
      <c r="P356" s="4">
        <v>0</v>
      </c>
      <c r="Q356" s="4">
        <v>678</v>
      </c>
      <c r="R356" t="s">
        <v>27</v>
      </c>
      <c r="S356" t="s">
        <v>1</v>
      </c>
    </row>
    <row r="357" spans="1:19" x14ac:dyDescent="0.25">
      <c r="A357" t="s">
        <v>544</v>
      </c>
      <c r="B357" t="s">
        <v>545</v>
      </c>
      <c r="C357" t="s">
        <v>60</v>
      </c>
      <c r="D357" t="s">
        <v>61</v>
      </c>
      <c r="E357" t="s">
        <v>22</v>
      </c>
      <c r="F357" t="s">
        <v>23</v>
      </c>
      <c r="G357" t="s">
        <v>589</v>
      </c>
      <c r="H357" t="s">
        <v>590</v>
      </c>
      <c r="I357" s="3">
        <f>DATEVALUE("2024/09/20 00:00:00")</f>
        <v>45555</v>
      </c>
      <c r="J357" s="3">
        <f>DATEVALUE("2024/11/20 00:00:00")</f>
        <v>45616</v>
      </c>
      <c r="K357" s="3">
        <f>DATEVALUE("2024/12/04 00:00:00")</f>
        <v>45630</v>
      </c>
      <c r="L357" s="4">
        <v>520</v>
      </c>
      <c r="M357" s="4">
        <v>520</v>
      </c>
      <c r="N357" t="s">
        <v>64</v>
      </c>
      <c r="O357" s="4">
        <v>320</v>
      </c>
      <c r="P357" s="4">
        <v>0</v>
      </c>
      <c r="Q357" s="4">
        <v>320</v>
      </c>
      <c r="R357" t="s">
        <v>27</v>
      </c>
      <c r="S357" t="s">
        <v>1</v>
      </c>
    </row>
    <row r="358" spans="1:19" x14ac:dyDescent="0.25">
      <c r="A358" t="s">
        <v>544</v>
      </c>
      <c r="B358" t="s">
        <v>545</v>
      </c>
      <c r="C358" t="s">
        <v>142</v>
      </c>
      <c r="D358" t="s">
        <v>143</v>
      </c>
      <c r="E358" t="s">
        <v>22</v>
      </c>
      <c r="F358" t="s">
        <v>23</v>
      </c>
      <c r="G358" t="s">
        <v>591</v>
      </c>
      <c r="H358" t="s">
        <v>592</v>
      </c>
      <c r="I358" s="3">
        <f>DATEVALUE("2024/05/24 00:00:00")</f>
        <v>45436</v>
      </c>
      <c r="J358" s="3">
        <f>DATEVALUE("2024/09/13 00:00:00")</f>
        <v>45548</v>
      </c>
      <c r="K358" s="3">
        <f>DATEVALUE("2024/09/25 00:00:00")</f>
        <v>45560</v>
      </c>
      <c r="L358" s="4">
        <v>5670</v>
      </c>
      <c r="M358" s="4">
        <v>0</v>
      </c>
      <c r="N358" t="s">
        <v>26</v>
      </c>
      <c r="O358" s="4">
        <v>2432</v>
      </c>
      <c r="P358" s="4">
        <v>2523.64</v>
      </c>
      <c r="Q358" s="4">
        <v>0</v>
      </c>
      <c r="R358" t="s">
        <v>34</v>
      </c>
      <c r="S358" t="s">
        <v>35</v>
      </c>
    </row>
    <row r="359" spans="1:19" x14ac:dyDescent="0.25">
      <c r="A359" t="s">
        <v>544</v>
      </c>
      <c r="B359" t="s">
        <v>545</v>
      </c>
      <c r="C359" t="s">
        <v>142</v>
      </c>
      <c r="D359" t="s">
        <v>143</v>
      </c>
      <c r="E359" t="s">
        <v>22</v>
      </c>
      <c r="F359" t="s">
        <v>23</v>
      </c>
      <c r="G359" t="s">
        <v>593</v>
      </c>
      <c r="H359" t="s">
        <v>594</v>
      </c>
      <c r="I359" s="3">
        <f>DATEVALUE("2024/08/08 00:00:00")</f>
        <v>45512</v>
      </c>
      <c r="J359" s="3">
        <f>DATEVALUE("2024/12/06 00:00:00")</f>
        <v>45632</v>
      </c>
      <c r="K359" s="3">
        <f>DATEVALUE("2024/12/18 00:00:00")</f>
        <v>45644</v>
      </c>
      <c r="L359" s="4">
        <v>10699.75</v>
      </c>
      <c r="M359" s="4">
        <v>10699.75</v>
      </c>
      <c r="N359" t="s">
        <v>26</v>
      </c>
      <c r="O359" s="4">
        <v>4921.25</v>
      </c>
      <c r="P359" s="4">
        <v>0</v>
      </c>
      <c r="Q359" s="4">
        <v>4921.25</v>
      </c>
      <c r="R359" t="s">
        <v>27</v>
      </c>
      <c r="S359" t="s">
        <v>1</v>
      </c>
    </row>
    <row r="360" spans="1:19" x14ac:dyDescent="0.25">
      <c r="A360" t="s">
        <v>544</v>
      </c>
      <c r="B360" t="s">
        <v>545</v>
      </c>
      <c r="C360" t="s">
        <v>595</v>
      </c>
      <c r="D360" t="s">
        <v>596</v>
      </c>
      <c r="E360" t="s">
        <v>22</v>
      </c>
      <c r="F360" t="s">
        <v>23</v>
      </c>
      <c r="G360" t="s">
        <v>597</v>
      </c>
      <c r="H360" t="s">
        <v>598</v>
      </c>
      <c r="I360" s="3">
        <f>DATEVALUE("2024/07/11 00:00:00")</f>
        <v>45484</v>
      </c>
      <c r="J360" s="3">
        <f>DATEVALUE("2024/10/04 00:00:00")</f>
        <v>45569</v>
      </c>
      <c r="K360" s="3">
        <f>DATEVALUE("2024/10/11 00:00:00")</f>
        <v>45576</v>
      </c>
      <c r="L360" s="4">
        <v>9840</v>
      </c>
      <c r="M360" s="4">
        <v>0</v>
      </c>
      <c r="N360" t="s">
        <v>26</v>
      </c>
      <c r="O360" s="4">
        <v>3510</v>
      </c>
      <c r="P360" s="4">
        <v>3434.78</v>
      </c>
      <c r="Q360" s="4">
        <v>0</v>
      </c>
      <c r="R360" t="s">
        <v>34</v>
      </c>
      <c r="S360" t="s">
        <v>35</v>
      </c>
    </row>
    <row r="361" spans="1:19" x14ac:dyDescent="0.25">
      <c r="A361" t="s">
        <v>544</v>
      </c>
      <c r="B361" t="s">
        <v>545</v>
      </c>
      <c r="C361" t="s">
        <v>114</v>
      </c>
      <c r="D361" t="s">
        <v>115</v>
      </c>
      <c r="E361" t="s">
        <v>22</v>
      </c>
      <c r="F361" t="s">
        <v>23</v>
      </c>
      <c r="G361" t="s">
        <v>599</v>
      </c>
      <c r="H361" t="s">
        <v>600</v>
      </c>
      <c r="I361" s="3">
        <f>DATEVALUE("2024/08/23 00:00:00")</f>
        <v>45527</v>
      </c>
      <c r="J361" s="3">
        <f>DATEVALUE("2024/11/10 00:00:00")</f>
        <v>45606</v>
      </c>
      <c r="K361" s="3">
        <f>DATEVALUE("2024/11/17 00:00:00")</f>
        <v>45613</v>
      </c>
      <c r="L361" s="4">
        <v>47145.599999999999</v>
      </c>
      <c r="M361" s="4">
        <v>47145.599999999999</v>
      </c>
      <c r="N361" t="s">
        <v>26</v>
      </c>
      <c r="O361" s="4">
        <v>25385.759999999998</v>
      </c>
      <c r="P361" s="4">
        <v>0</v>
      </c>
      <c r="Q361" s="4">
        <v>25385.759999999998</v>
      </c>
      <c r="R361" t="s">
        <v>27</v>
      </c>
      <c r="S361" t="s">
        <v>1</v>
      </c>
    </row>
    <row r="362" spans="1:19" x14ac:dyDescent="0.25">
      <c r="A362" t="s">
        <v>544</v>
      </c>
      <c r="B362" t="s">
        <v>545</v>
      </c>
      <c r="C362" t="s">
        <v>114</v>
      </c>
      <c r="D362" t="s">
        <v>115</v>
      </c>
      <c r="E362" t="s">
        <v>22</v>
      </c>
      <c r="F362" t="s">
        <v>23</v>
      </c>
      <c r="G362" t="s">
        <v>601</v>
      </c>
      <c r="H362" t="s">
        <v>602</v>
      </c>
      <c r="I362" s="3">
        <f>DATEVALUE("2024/08/26 00:00:00")</f>
        <v>45530</v>
      </c>
      <c r="J362" s="3">
        <f>DATEVALUE("2024/11/22 00:00:00")</f>
        <v>45618</v>
      </c>
      <c r="K362" s="3">
        <f>DATEVALUE("2024/11/29 00:00:00")</f>
        <v>45625</v>
      </c>
      <c r="L362" s="4">
        <v>36372.480000000003</v>
      </c>
      <c r="M362" s="4">
        <v>36372.480000000003</v>
      </c>
      <c r="N362" t="s">
        <v>26</v>
      </c>
      <c r="O362" s="4">
        <v>22306.560000000001</v>
      </c>
      <c r="P362" s="4">
        <v>0</v>
      </c>
      <c r="Q362" s="4">
        <v>22306.560000000001</v>
      </c>
      <c r="R362" t="s">
        <v>27</v>
      </c>
      <c r="S362" t="s">
        <v>1</v>
      </c>
    </row>
    <row r="363" spans="1:19" x14ac:dyDescent="0.25">
      <c r="A363" t="s">
        <v>544</v>
      </c>
      <c r="B363" t="s">
        <v>545</v>
      </c>
      <c r="C363" t="s">
        <v>114</v>
      </c>
      <c r="D363" t="s">
        <v>115</v>
      </c>
      <c r="E363" t="s">
        <v>22</v>
      </c>
      <c r="F363" t="s">
        <v>23</v>
      </c>
      <c r="G363" t="s">
        <v>603</v>
      </c>
      <c r="H363" t="s">
        <v>604</v>
      </c>
      <c r="I363" s="3">
        <f>DATEVALUE("2024/08/26 00:00:00")</f>
        <v>45530</v>
      </c>
      <c r="J363" s="3">
        <f>DATEVALUE("2024/11/22 00:00:00")</f>
        <v>45618</v>
      </c>
      <c r="K363" s="3">
        <f>DATEVALUE("2024/11/29 00:00:00")</f>
        <v>45625</v>
      </c>
      <c r="L363" s="4">
        <v>59778.84</v>
      </c>
      <c r="M363" s="4">
        <v>59778.84</v>
      </c>
      <c r="N363" t="s">
        <v>26</v>
      </c>
      <c r="O363" s="4">
        <v>22638.31</v>
      </c>
      <c r="P363" s="4">
        <v>0</v>
      </c>
      <c r="Q363" s="4">
        <v>22638.31</v>
      </c>
      <c r="R363" t="s">
        <v>27</v>
      </c>
      <c r="S363" t="s">
        <v>1</v>
      </c>
    </row>
    <row r="364" spans="1:19" x14ac:dyDescent="0.25">
      <c r="A364" t="s">
        <v>544</v>
      </c>
      <c r="B364" t="s">
        <v>545</v>
      </c>
      <c r="C364" t="s">
        <v>36</v>
      </c>
      <c r="D364" t="s">
        <v>37</v>
      </c>
      <c r="E364" t="s">
        <v>22</v>
      </c>
      <c r="F364" t="s">
        <v>23</v>
      </c>
      <c r="G364" t="s">
        <v>605</v>
      </c>
      <c r="H364" t="s">
        <v>606</v>
      </c>
      <c r="I364" s="3">
        <f>DATEVALUE("2024/05/20 00:00:00")</f>
        <v>45432</v>
      </c>
      <c r="J364" s="3">
        <f>DATEVALUE("2024/10/18 00:00:00")</f>
        <v>45583</v>
      </c>
      <c r="K364" s="3">
        <f>DATEVALUE("2024/09/20 00:00:00")</f>
        <v>45555</v>
      </c>
      <c r="L364" s="4">
        <v>6706.8</v>
      </c>
      <c r="M364" s="4">
        <v>4638.96</v>
      </c>
      <c r="N364" t="s">
        <v>26</v>
      </c>
      <c r="O364" s="4">
        <v>2485.44</v>
      </c>
      <c r="P364" s="4">
        <v>829.44</v>
      </c>
      <c r="Q364" s="4">
        <v>1656</v>
      </c>
      <c r="R364" t="s">
        <v>27</v>
      </c>
      <c r="S364" t="s">
        <v>607</v>
      </c>
    </row>
    <row r="365" spans="1:19" x14ac:dyDescent="0.25">
      <c r="A365" t="s">
        <v>544</v>
      </c>
      <c r="B365" t="s">
        <v>545</v>
      </c>
      <c r="C365" t="s">
        <v>36</v>
      </c>
      <c r="D365" t="s">
        <v>37</v>
      </c>
      <c r="E365" t="s">
        <v>22</v>
      </c>
      <c r="F365" t="s">
        <v>23</v>
      </c>
      <c r="G365" t="s">
        <v>605</v>
      </c>
      <c r="H365" t="s">
        <v>606</v>
      </c>
      <c r="I365" s="3">
        <f>DATEVALUE("2024/05/20 00:00:00")</f>
        <v>45432</v>
      </c>
      <c r="J365" s="3">
        <f>DATEVALUE("2024/09/13 00:00:00")</f>
        <v>45548</v>
      </c>
      <c r="K365" s="3">
        <f>DATEVALUE("2024/09/20 00:00:00")</f>
        <v>45555</v>
      </c>
      <c r="L365" s="4">
        <v>5537.76</v>
      </c>
      <c r="M365" s="4">
        <v>4746.84</v>
      </c>
      <c r="N365" t="s">
        <v>26</v>
      </c>
      <c r="O365" s="4">
        <v>2789.76</v>
      </c>
      <c r="P365" s="4">
        <v>352.56</v>
      </c>
      <c r="Q365" s="4">
        <v>2437.1999999999998</v>
      </c>
      <c r="R365" t="s">
        <v>27</v>
      </c>
      <c r="S365" t="s">
        <v>608</v>
      </c>
    </row>
    <row r="366" spans="1:19" x14ac:dyDescent="0.25">
      <c r="A366" t="s">
        <v>544</v>
      </c>
      <c r="B366" t="s">
        <v>545</v>
      </c>
      <c r="C366" t="s">
        <v>36</v>
      </c>
      <c r="D366" t="s">
        <v>37</v>
      </c>
      <c r="E366" t="s">
        <v>22</v>
      </c>
      <c r="F366" t="s">
        <v>23</v>
      </c>
      <c r="G366" t="s">
        <v>605</v>
      </c>
      <c r="H366" t="s">
        <v>606</v>
      </c>
      <c r="I366" s="3">
        <f>DATEVALUE("2024/05/20 00:00:00")</f>
        <v>45432</v>
      </c>
      <c r="J366" s="3">
        <f>DATEVALUE("2024/09/13 00:00:00")</f>
        <v>45548</v>
      </c>
      <c r="K366" s="3">
        <f>DATEVALUE("2024/09/20 00:00:00")</f>
        <v>45555</v>
      </c>
      <c r="L366" s="4">
        <v>825.6</v>
      </c>
      <c r="M366" s="4">
        <v>0</v>
      </c>
      <c r="N366" t="s">
        <v>26</v>
      </c>
      <c r="O366" s="4">
        <v>441.6</v>
      </c>
      <c r="P366" s="4">
        <v>438.6</v>
      </c>
      <c r="Q366" s="4">
        <v>0</v>
      </c>
      <c r="R366" t="s">
        <v>34</v>
      </c>
      <c r="S366" t="s">
        <v>35</v>
      </c>
    </row>
    <row r="367" spans="1:19" x14ac:dyDescent="0.25">
      <c r="A367" t="s">
        <v>544</v>
      </c>
      <c r="B367" t="s">
        <v>545</v>
      </c>
      <c r="C367" t="s">
        <v>36</v>
      </c>
      <c r="D367" t="s">
        <v>37</v>
      </c>
      <c r="E367" t="s">
        <v>22</v>
      </c>
      <c r="F367" t="s">
        <v>23</v>
      </c>
      <c r="G367" t="s">
        <v>609</v>
      </c>
      <c r="H367" t="s">
        <v>610</v>
      </c>
      <c r="I367" s="3">
        <f>DATEVALUE("2024/07/18 00:00:00")</f>
        <v>45491</v>
      </c>
      <c r="J367" s="3">
        <f>DATEVALUE("2024/10/18 00:00:00")</f>
        <v>45583</v>
      </c>
      <c r="K367" s="3">
        <f>DATEVALUE("2024/10/25 00:00:00")</f>
        <v>45590</v>
      </c>
      <c r="L367" s="4">
        <v>46948.32</v>
      </c>
      <c r="M367" s="4">
        <v>19027.97</v>
      </c>
      <c r="N367" t="s">
        <v>26</v>
      </c>
      <c r="O367" s="4">
        <v>23000.16</v>
      </c>
      <c r="P367" s="4">
        <v>12338.35</v>
      </c>
      <c r="Q367" s="4">
        <v>10661.81</v>
      </c>
      <c r="R367" t="s">
        <v>27</v>
      </c>
      <c r="S367" t="s">
        <v>611</v>
      </c>
    </row>
    <row r="368" spans="1:19" x14ac:dyDescent="0.25">
      <c r="A368" t="s">
        <v>544</v>
      </c>
      <c r="B368" t="s">
        <v>545</v>
      </c>
      <c r="C368" t="s">
        <v>36</v>
      </c>
      <c r="D368" t="s">
        <v>37</v>
      </c>
      <c r="E368" t="s">
        <v>22</v>
      </c>
      <c r="F368" t="s">
        <v>23</v>
      </c>
      <c r="G368" t="s">
        <v>609</v>
      </c>
      <c r="H368" t="s">
        <v>610</v>
      </c>
      <c r="I368" s="3">
        <f>DATEVALUE("2024/07/18 00:00:00")</f>
        <v>45491</v>
      </c>
      <c r="J368" s="3">
        <f>DATEVALUE("2024/10/18 00:00:00")</f>
        <v>45583</v>
      </c>
      <c r="K368" s="3">
        <f>DATEVALUE("2024/10/25 00:00:00")</f>
        <v>45590</v>
      </c>
      <c r="L368" s="4">
        <v>52081.440000000002</v>
      </c>
      <c r="M368" s="4">
        <v>0</v>
      </c>
      <c r="N368" t="s">
        <v>26</v>
      </c>
      <c r="O368" s="4">
        <v>28014.720000000001</v>
      </c>
      <c r="P368" s="4">
        <v>27258.49</v>
      </c>
      <c r="Q368" s="4">
        <v>0</v>
      </c>
      <c r="R368" t="s">
        <v>34</v>
      </c>
      <c r="S368" t="s">
        <v>35</v>
      </c>
    </row>
    <row r="369" spans="1:19" x14ac:dyDescent="0.25">
      <c r="A369" t="s">
        <v>544</v>
      </c>
      <c r="B369" t="s">
        <v>545</v>
      </c>
      <c r="C369" t="s">
        <v>40</v>
      </c>
      <c r="D369" t="s">
        <v>41</v>
      </c>
      <c r="E369" t="s">
        <v>22</v>
      </c>
      <c r="F369" t="s">
        <v>23</v>
      </c>
      <c r="G369" t="s">
        <v>612</v>
      </c>
      <c r="H369" t="s">
        <v>613</v>
      </c>
      <c r="I369" s="3">
        <f t="shared" ref="I369:I375" si="3">DATEVALUE("2024/05/10 00:00:00")</f>
        <v>45422</v>
      </c>
      <c r="J369" s="3">
        <f>DATEVALUE("2024/10/25 00:00:00")</f>
        <v>45590</v>
      </c>
      <c r="K369" s="3">
        <f>DATEVALUE("2024/11/01 00:00:00")</f>
        <v>45597</v>
      </c>
      <c r="L369" s="4">
        <v>35178</v>
      </c>
      <c r="M369" s="4">
        <v>0</v>
      </c>
      <c r="N369" t="s">
        <v>26</v>
      </c>
      <c r="O369" s="4">
        <v>15807</v>
      </c>
      <c r="P369" s="4">
        <v>14896</v>
      </c>
      <c r="Q369" s="4">
        <v>0</v>
      </c>
      <c r="R369" t="s">
        <v>34</v>
      </c>
      <c r="S369" t="s">
        <v>35</v>
      </c>
    </row>
    <row r="370" spans="1:19" x14ac:dyDescent="0.25">
      <c r="A370" t="s">
        <v>544</v>
      </c>
      <c r="B370" t="s">
        <v>545</v>
      </c>
      <c r="C370" t="s">
        <v>40</v>
      </c>
      <c r="D370" t="s">
        <v>41</v>
      </c>
      <c r="E370" t="s">
        <v>22</v>
      </c>
      <c r="F370" t="s">
        <v>23</v>
      </c>
      <c r="G370" t="s">
        <v>612</v>
      </c>
      <c r="H370" t="s">
        <v>613</v>
      </c>
      <c r="I370" s="3">
        <f t="shared" si="3"/>
        <v>45422</v>
      </c>
      <c r="J370" s="3">
        <f>DATEVALUE("2024/10/11 00:00:00")</f>
        <v>45576</v>
      </c>
      <c r="K370" s="3">
        <f>DATEVALUE("2024/10/18 00:00:00")</f>
        <v>45583</v>
      </c>
      <c r="L370" s="4">
        <v>36390</v>
      </c>
      <c r="M370" s="4">
        <v>0</v>
      </c>
      <c r="N370" t="s">
        <v>26</v>
      </c>
      <c r="O370" s="4">
        <v>16368.6</v>
      </c>
      <c r="P370" s="4">
        <v>15859.76</v>
      </c>
      <c r="Q370" s="4">
        <v>0</v>
      </c>
      <c r="R370" t="s">
        <v>34</v>
      </c>
      <c r="S370" t="s">
        <v>35</v>
      </c>
    </row>
    <row r="371" spans="1:19" x14ac:dyDescent="0.25">
      <c r="A371" t="s">
        <v>544</v>
      </c>
      <c r="B371" t="s">
        <v>545</v>
      </c>
      <c r="C371" t="s">
        <v>40</v>
      </c>
      <c r="D371" t="s">
        <v>41</v>
      </c>
      <c r="E371" t="s">
        <v>22</v>
      </c>
      <c r="F371" t="s">
        <v>23</v>
      </c>
      <c r="G371" t="s">
        <v>614</v>
      </c>
      <c r="H371" t="s">
        <v>615</v>
      </c>
      <c r="I371" s="3">
        <f t="shared" si="3"/>
        <v>45422</v>
      </c>
      <c r="J371" s="3">
        <f>DATEVALUE("2024/11/15 00:00:00")</f>
        <v>45611</v>
      </c>
      <c r="K371" s="3">
        <f>DATEVALUE("2024/12/09 00:00:00")</f>
        <v>45635</v>
      </c>
      <c r="L371" s="4">
        <v>65076</v>
      </c>
      <c r="M371" s="4">
        <v>65076</v>
      </c>
      <c r="N371" t="s">
        <v>26</v>
      </c>
      <c r="O371" s="4">
        <v>15807</v>
      </c>
      <c r="P371" s="4">
        <v>0</v>
      </c>
      <c r="Q371" s="4">
        <v>15807</v>
      </c>
      <c r="R371" t="s">
        <v>27</v>
      </c>
      <c r="S371" t="s">
        <v>1</v>
      </c>
    </row>
    <row r="372" spans="1:19" x14ac:dyDescent="0.25">
      <c r="A372" t="s">
        <v>544</v>
      </c>
      <c r="B372" t="s">
        <v>545</v>
      </c>
      <c r="C372" t="s">
        <v>40</v>
      </c>
      <c r="D372" t="s">
        <v>41</v>
      </c>
      <c r="E372" t="s">
        <v>22</v>
      </c>
      <c r="F372" t="s">
        <v>23</v>
      </c>
      <c r="G372" t="s">
        <v>614</v>
      </c>
      <c r="H372" t="s">
        <v>615</v>
      </c>
      <c r="I372" s="3">
        <f t="shared" si="3"/>
        <v>45422</v>
      </c>
      <c r="J372" s="3">
        <f>DATEVALUE("2024/09/06 00:00:00")</f>
        <v>45541</v>
      </c>
      <c r="K372" s="3">
        <f>DATEVALUE("2024/09/13 00:00:00")</f>
        <v>45548</v>
      </c>
      <c r="L372" s="4">
        <v>7960</v>
      </c>
      <c r="M372" s="4">
        <v>0</v>
      </c>
      <c r="N372" t="s">
        <v>26</v>
      </c>
      <c r="O372" s="4">
        <v>4120</v>
      </c>
      <c r="P372" s="4">
        <v>3986.02</v>
      </c>
      <c r="Q372" s="4">
        <v>0</v>
      </c>
      <c r="R372" t="s">
        <v>34</v>
      </c>
      <c r="S372" t="s">
        <v>35</v>
      </c>
    </row>
    <row r="373" spans="1:19" x14ac:dyDescent="0.25">
      <c r="A373" t="s">
        <v>544</v>
      </c>
      <c r="B373" t="s">
        <v>545</v>
      </c>
      <c r="C373" t="s">
        <v>40</v>
      </c>
      <c r="D373" t="s">
        <v>41</v>
      </c>
      <c r="E373" t="s">
        <v>22</v>
      </c>
      <c r="F373" t="s">
        <v>23</v>
      </c>
      <c r="G373" t="s">
        <v>614</v>
      </c>
      <c r="H373" t="s">
        <v>615</v>
      </c>
      <c r="I373" s="3">
        <f t="shared" si="3"/>
        <v>45422</v>
      </c>
      <c r="J373" s="3">
        <f>DATEVALUE("2024/10/25 00:00:00")</f>
        <v>45590</v>
      </c>
      <c r="K373" s="3">
        <f>DATEVALUE("2024/11/01 00:00:00")</f>
        <v>45597</v>
      </c>
      <c r="L373" s="4">
        <v>11940</v>
      </c>
      <c r="M373" s="4">
        <v>0</v>
      </c>
      <c r="N373" t="s">
        <v>26</v>
      </c>
      <c r="O373" s="4">
        <v>6180</v>
      </c>
      <c r="P373" s="4">
        <v>5917.38</v>
      </c>
      <c r="Q373" s="4">
        <v>0</v>
      </c>
      <c r="R373" t="s">
        <v>34</v>
      </c>
      <c r="S373" t="s">
        <v>35</v>
      </c>
    </row>
    <row r="374" spans="1:19" x14ac:dyDescent="0.25">
      <c r="A374" t="s">
        <v>544</v>
      </c>
      <c r="B374" t="s">
        <v>545</v>
      </c>
      <c r="C374" t="s">
        <v>40</v>
      </c>
      <c r="D374" t="s">
        <v>41</v>
      </c>
      <c r="E374" t="s">
        <v>22</v>
      </c>
      <c r="F374" t="s">
        <v>23</v>
      </c>
      <c r="G374" t="s">
        <v>614</v>
      </c>
      <c r="H374" t="s">
        <v>615</v>
      </c>
      <c r="I374" s="3">
        <f t="shared" si="3"/>
        <v>45422</v>
      </c>
      <c r="J374" s="3">
        <f>DATEVALUE("2024/09/27 00:00:00")</f>
        <v>45562</v>
      </c>
      <c r="K374" s="3">
        <f>DATEVALUE("2024/10/04 00:00:00")</f>
        <v>45569</v>
      </c>
      <c r="L374" s="4">
        <v>138112</v>
      </c>
      <c r="M374" s="4">
        <v>0</v>
      </c>
      <c r="N374" t="s">
        <v>26</v>
      </c>
      <c r="O374" s="4">
        <v>35734</v>
      </c>
      <c r="P374" s="4">
        <v>35246.14</v>
      </c>
      <c r="Q374" s="4">
        <v>0</v>
      </c>
      <c r="R374" t="s">
        <v>34</v>
      </c>
      <c r="S374" t="s">
        <v>35</v>
      </c>
    </row>
    <row r="375" spans="1:19" x14ac:dyDescent="0.25">
      <c r="A375" t="s">
        <v>544</v>
      </c>
      <c r="B375" t="s">
        <v>545</v>
      </c>
      <c r="C375" t="s">
        <v>40</v>
      </c>
      <c r="D375" t="s">
        <v>41</v>
      </c>
      <c r="E375" t="s">
        <v>22</v>
      </c>
      <c r="F375" t="s">
        <v>23</v>
      </c>
      <c r="G375" t="s">
        <v>614</v>
      </c>
      <c r="H375" t="s">
        <v>615</v>
      </c>
      <c r="I375" s="3">
        <f t="shared" si="3"/>
        <v>45422</v>
      </c>
      <c r="J375" s="3">
        <f>DATEVALUE("2024/10/11 00:00:00")</f>
        <v>45576</v>
      </c>
      <c r="K375" s="3">
        <f>DATEVALUE("2024/10/22 00:00:00")</f>
        <v>45587</v>
      </c>
      <c r="L375" s="4">
        <v>16054.5</v>
      </c>
      <c r="M375" s="4">
        <v>0</v>
      </c>
      <c r="N375" t="s">
        <v>26</v>
      </c>
      <c r="O375" s="4">
        <v>3465</v>
      </c>
      <c r="P375" s="4">
        <v>3303.72</v>
      </c>
      <c r="Q375" s="4">
        <v>0</v>
      </c>
      <c r="R375" t="s">
        <v>34</v>
      </c>
      <c r="S375" t="s">
        <v>35</v>
      </c>
    </row>
    <row r="376" spans="1:19" x14ac:dyDescent="0.25">
      <c r="A376" t="s">
        <v>544</v>
      </c>
      <c r="B376" t="s">
        <v>545</v>
      </c>
      <c r="C376" t="s">
        <v>40</v>
      </c>
      <c r="D376" t="s">
        <v>41</v>
      </c>
      <c r="E376" t="s">
        <v>22</v>
      </c>
      <c r="F376" t="s">
        <v>23</v>
      </c>
      <c r="G376" t="s">
        <v>616</v>
      </c>
      <c r="H376" t="s">
        <v>617</v>
      </c>
      <c r="I376" s="3">
        <f>DATEVALUE("2024/07/29 00:00:00")</f>
        <v>45502</v>
      </c>
      <c r="J376" s="3">
        <f>DATEVALUE("2024/11/01 00:00:00")</f>
        <v>45597</v>
      </c>
      <c r="K376" s="3">
        <f>DATEVALUE("2024/11/11 00:00:00")</f>
        <v>45607</v>
      </c>
      <c r="L376" s="4">
        <v>11544.4</v>
      </c>
      <c r="M376" s="4">
        <v>11544.4</v>
      </c>
      <c r="N376" t="s">
        <v>26</v>
      </c>
      <c r="O376" s="4">
        <v>4708.2</v>
      </c>
      <c r="P376" s="4">
        <v>0</v>
      </c>
      <c r="Q376" s="4">
        <v>4708.2</v>
      </c>
      <c r="R376" t="s">
        <v>27</v>
      </c>
      <c r="S376" t="s">
        <v>1</v>
      </c>
    </row>
    <row r="377" spans="1:19" x14ac:dyDescent="0.25">
      <c r="A377" t="s">
        <v>544</v>
      </c>
      <c r="B377" t="s">
        <v>545</v>
      </c>
      <c r="C377" t="s">
        <v>40</v>
      </c>
      <c r="D377" t="s">
        <v>41</v>
      </c>
      <c r="E377" t="s">
        <v>22</v>
      </c>
      <c r="F377" t="s">
        <v>23</v>
      </c>
      <c r="G377" t="s">
        <v>616</v>
      </c>
      <c r="H377" t="s">
        <v>617</v>
      </c>
      <c r="I377" s="3">
        <f>DATEVALUE("2024/07/29 00:00:00")</f>
        <v>45502</v>
      </c>
      <c r="J377" s="3">
        <f>DATEVALUE("2024/10/18 00:00:00")</f>
        <v>45583</v>
      </c>
      <c r="K377" s="3">
        <f>DATEVALUE("2024/10/28 00:00:00")</f>
        <v>45593</v>
      </c>
      <c r="L377" s="4">
        <v>1305.5999999999999</v>
      </c>
      <c r="M377" s="4">
        <v>0</v>
      </c>
      <c r="N377" t="s">
        <v>26</v>
      </c>
      <c r="O377" s="4">
        <v>473.6</v>
      </c>
      <c r="P377" s="4">
        <v>442.4</v>
      </c>
      <c r="Q377" s="4">
        <v>0</v>
      </c>
      <c r="R377" t="s">
        <v>34</v>
      </c>
      <c r="S377" t="s">
        <v>35</v>
      </c>
    </row>
    <row r="378" spans="1:19" x14ac:dyDescent="0.25">
      <c r="A378" t="s">
        <v>544</v>
      </c>
      <c r="B378" t="s">
        <v>545</v>
      </c>
      <c r="C378" t="s">
        <v>40</v>
      </c>
      <c r="D378" t="s">
        <v>41</v>
      </c>
      <c r="E378" t="s">
        <v>22</v>
      </c>
      <c r="F378" t="s">
        <v>23</v>
      </c>
      <c r="G378" t="s">
        <v>618</v>
      </c>
      <c r="H378" t="s">
        <v>619</v>
      </c>
      <c r="I378" s="3">
        <f>DATEVALUE("2024/08/02 00:00:00")</f>
        <v>45506</v>
      </c>
      <c r="J378" s="3">
        <f>DATEVALUE("2024/11/20 00:00:00")</f>
        <v>45616</v>
      </c>
      <c r="K378" s="3">
        <f>DATEVALUE("2024/11/25 00:00:00")</f>
        <v>45621</v>
      </c>
      <c r="L378" s="4">
        <v>13193.6</v>
      </c>
      <c r="M378" s="4">
        <v>13193.6</v>
      </c>
      <c r="N378" t="s">
        <v>26</v>
      </c>
      <c r="O378" s="4">
        <v>5380.8</v>
      </c>
      <c r="P378" s="4">
        <v>0</v>
      </c>
      <c r="Q378" s="4">
        <v>5380.8</v>
      </c>
      <c r="R378" t="s">
        <v>27</v>
      </c>
      <c r="S378" t="s">
        <v>1</v>
      </c>
    </row>
    <row r="379" spans="1:19" x14ac:dyDescent="0.25">
      <c r="A379" t="s">
        <v>544</v>
      </c>
      <c r="B379" t="s">
        <v>545</v>
      </c>
      <c r="C379" t="s">
        <v>44</v>
      </c>
      <c r="D379" t="s">
        <v>45</v>
      </c>
      <c r="E379" t="s">
        <v>22</v>
      </c>
      <c r="F379" t="s">
        <v>23</v>
      </c>
      <c r="G379" t="s">
        <v>620</v>
      </c>
      <c r="H379" t="s">
        <v>621</v>
      </c>
      <c r="I379" s="3">
        <f>DATEVALUE("2024/06/28 00:00:00")</f>
        <v>45471</v>
      </c>
      <c r="J379" s="3">
        <f>DATEVALUE("2024/08/30 00:00:00")</f>
        <v>45534</v>
      </c>
      <c r="K379" s="3">
        <f>DATEVALUE("2024/09/06 00:00:00")</f>
        <v>45541</v>
      </c>
      <c r="L379" s="4">
        <v>35426.400000000001</v>
      </c>
      <c r="M379" s="4">
        <v>0</v>
      </c>
      <c r="N379" t="s">
        <v>26</v>
      </c>
      <c r="O379" s="4">
        <v>18346.32</v>
      </c>
      <c r="P379" s="4">
        <v>18028.87</v>
      </c>
      <c r="Q379" s="4">
        <v>0</v>
      </c>
      <c r="R379" t="s">
        <v>34</v>
      </c>
      <c r="S379" t="s">
        <v>35</v>
      </c>
    </row>
    <row r="380" spans="1:19" x14ac:dyDescent="0.25">
      <c r="A380" t="s">
        <v>544</v>
      </c>
      <c r="B380" t="s">
        <v>545</v>
      </c>
      <c r="C380" t="s">
        <v>44</v>
      </c>
      <c r="D380" t="s">
        <v>45</v>
      </c>
      <c r="E380" t="s">
        <v>22</v>
      </c>
      <c r="F380" t="s">
        <v>23</v>
      </c>
      <c r="G380" t="s">
        <v>622</v>
      </c>
      <c r="H380" t="s">
        <v>623</v>
      </c>
      <c r="I380" s="3">
        <f>DATEVALUE("2024/09/26 00:00:00")</f>
        <v>45561</v>
      </c>
      <c r="J380" s="3">
        <f>DATEVALUE("2024/12/17 00:00:00")</f>
        <v>45643</v>
      </c>
      <c r="K380" s="3">
        <f>DATEVALUE("2024/12/24 00:00:00")</f>
        <v>45650</v>
      </c>
      <c r="L380" s="4">
        <v>34953.839999999997</v>
      </c>
      <c r="M380" s="4">
        <v>34953.839999999997</v>
      </c>
      <c r="N380" t="s">
        <v>26</v>
      </c>
      <c r="O380" s="4">
        <v>17748.36</v>
      </c>
      <c r="P380" s="4">
        <v>0</v>
      </c>
      <c r="Q380" s="4">
        <v>17748.36</v>
      </c>
      <c r="R380" t="s">
        <v>27</v>
      </c>
      <c r="S380" t="s">
        <v>1</v>
      </c>
    </row>
    <row r="381" spans="1:19" x14ac:dyDescent="0.25">
      <c r="A381" t="s">
        <v>544</v>
      </c>
      <c r="B381" t="s">
        <v>545</v>
      </c>
      <c r="C381" t="s">
        <v>20</v>
      </c>
      <c r="D381" t="s">
        <v>21</v>
      </c>
      <c r="E381" t="s">
        <v>22</v>
      </c>
      <c r="F381" t="s">
        <v>23</v>
      </c>
      <c r="G381" t="s">
        <v>624</v>
      </c>
      <c r="H381" t="s">
        <v>625</v>
      </c>
      <c r="I381" s="3">
        <f>DATEVALUE("2024/08/08 00:00:00")</f>
        <v>45512</v>
      </c>
      <c r="J381" s="3">
        <f>DATEVALUE("2024/10/14 00:00:00")</f>
        <v>45579</v>
      </c>
      <c r="K381" s="3">
        <f>DATEVALUE("2024/10/21 00:00:00")</f>
        <v>45586</v>
      </c>
      <c r="L381" s="4">
        <v>69217.919999999998</v>
      </c>
      <c r="M381" s="4">
        <v>0</v>
      </c>
      <c r="N381" t="s">
        <v>26</v>
      </c>
      <c r="O381" s="4">
        <v>19026.18</v>
      </c>
      <c r="P381" s="4">
        <v>18906.599999999999</v>
      </c>
      <c r="Q381" s="4">
        <v>0</v>
      </c>
      <c r="R381" t="s">
        <v>34</v>
      </c>
      <c r="S381" t="s">
        <v>35</v>
      </c>
    </row>
    <row r="382" spans="1:19" x14ac:dyDescent="0.25">
      <c r="A382" t="s">
        <v>544</v>
      </c>
      <c r="B382" t="s">
        <v>545</v>
      </c>
      <c r="C382" t="s">
        <v>20</v>
      </c>
      <c r="D382" t="s">
        <v>21</v>
      </c>
      <c r="E382" t="s">
        <v>22</v>
      </c>
      <c r="F382" t="s">
        <v>23</v>
      </c>
      <c r="G382" t="s">
        <v>626</v>
      </c>
      <c r="H382" t="s">
        <v>627</v>
      </c>
      <c r="I382" s="3">
        <f>DATEVALUE("2024/08/08 00:00:00")</f>
        <v>45512</v>
      </c>
      <c r="J382" s="3">
        <f>DATEVALUE("2024/11/13 00:00:00")</f>
        <v>45609</v>
      </c>
      <c r="K382" s="3">
        <f>DATEVALUE("2024/11/20 00:00:00")</f>
        <v>45616</v>
      </c>
      <c r="L382" s="4">
        <v>69275.520000000004</v>
      </c>
      <c r="M382" s="4">
        <v>0</v>
      </c>
      <c r="N382" t="s">
        <v>26</v>
      </c>
      <c r="O382" s="4">
        <v>19059.39</v>
      </c>
      <c r="P382" s="4">
        <v>20144.330000000002</v>
      </c>
      <c r="Q382" s="4">
        <v>0</v>
      </c>
      <c r="R382" t="s">
        <v>34</v>
      </c>
      <c r="S382" t="s">
        <v>35</v>
      </c>
    </row>
    <row r="383" spans="1:19" x14ac:dyDescent="0.25">
      <c r="A383" t="s">
        <v>544</v>
      </c>
      <c r="B383" t="s">
        <v>545</v>
      </c>
      <c r="C383" t="s">
        <v>20</v>
      </c>
      <c r="D383" t="s">
        <v>21</v>
      </c>
      <c r="E383" t="s">
        <v>22</v>
      </c>
      <c r="F383" t="s">
        <v>23</v>
      </c>
      <c r="G383" t="s">
        <v>628</v>
      </c>
      <c r="H383" t="s">
        <v>629</v>
      </c>
      <c r="I383" s="3">
        <f>DATEVALUE("2024/08/08 00:00:00")</f>
        <v>45512</v>
      </c>
      <c r="J383" s="3">
        <f>DATEVALUE("2024/11/13 00:00:00")</f>
        <v>45609</v>
      </c>
      <c r="K383" s="3">
        <f>DATEVALUE("2024/11/20 00:00:00")</f>
        <v>45616</v>
      </c>
      <c r="L383" s="4">
        <v>69324.160000000003</v>
      </c>
      <c r="M383" s="4">
        <v>69324.160000000003</v>
      </c>
      <c r="N383" t="s">
        <v>26</v>
      </c>
      <c r="O383" s="4">
        <v>19167.87</v>
      </c>
      <c r="P383" s="4">
        <v>0</v>
      </c>
      <c r="Q383" s="4">
        <v>19167.87</v>
      </c>
      <c r="R383" t="s">
        <v>27</v>
      </c>
      <c r="S383" t="s">
        <v>1</v>
      </c>
    </row>
    <row r="384" spans="1:19" x14ac:dyDescent="0.25">
      <c r="A384" t="s">
        <v>544</v>
      </c>
      <c r="B384" t="s">
        <v>545</v>
      </c>
      <c r="C384" t="s">
        <v>20</v>
      </c>
      <c r="D384" t="s">
        <v>21</v>
      </c>
      <c r="E384" t="s">
        <v>22</v>
      </c>
      <c r="F384" t="s">
        <v>23</v>
      </c>
      <c r="G384" t="s">
        <v>630</v>
      </c>
      <c r="H384" t="s">
        <v>631</v>
      </c>
      <c r="I384" s="3">
        <f>DATEVALUE("2024/08/08 00:00:00")</f>
        <v>45512</v>
      </c>
      <c r="J384" s="3">
        <f>DATEVALUE("2024/12/03 00:00:00")</f>
        <v>45629</v>
      </c>
      <c r="K384" s="3">
        <f>DATEVALUE("2024/12/10 00:00:00")</f>
        <v>45636</v>
      </c>
      <c r="L384" s="4">
        <v>69266.559999999998</v>
      </c>
      <c r="M384" s="4">
        <v>69266.559999999998</v>
      </c>
      <c r="N384" t="s">
        <v>26</v>
      </c>
      <c r="O384" s="4">
        <v>19134.66</v>
      </c>
      <c r="P384" s="4">
        <v>0</v>
      </c>
      <c r="Q384" s="4">
        <v>19134.66</v>
      </c>
      <c r="R384" t="s">
        <v>27</v>
      </c>
      <c r="S384" t="s">
        <v>1</v>
      </c>
    </row>
    <row r="385" spans="1:19" x14ac:dyDescent="0.25">
      <c r="A385" t="s">
        <v>544</v>
      </c>
      <c r="B385" t="s">
        <v>545</v>
      </c>
      <c r="C385" t="s">
        <v>20</v>
      </c>
      <c r="D385" t="s">
        <v>21</v>
      </c>
      <c r="E385" t="s">
        <v>22</v>
      </c>
      <c r="F385" t="s">
        <v>23</v>
      </c>
      <c r="G385" t="s">
        <v>632</v>
      </c>
      <c r="H385" t="s">
        <v>633</v>
      </c>
      <c r="I385" s="3">
        <f>DATEVALUE("2024/09/09 00:00:00")</f>
        <v>45544</v>
      </c>
      <c r="J385" s="3">
        <f>DATEVALUE("2024/11/27 00:00:00")</f>
        <v>45623</v>
      </c>
      <c r="K385" s="3">
        <f>DATEVALUE("2024/12/04 00:00:00")</f>
        <v>45630</v>
      </c>
      <c r="L385" s="4">
        <v>46767.839999999997</v>
      </c>
      <c r="M385" s="4">
        <v>46767.839999999997</v>
      </c>
      <c r="N385" t="s">
        <v>26</v>
      </c>
      <c r="O385" s="4">
        <v>19276.7</v>
      </c>
      <c r="P385" s="4">
        <v>0</v>
      </c>
      <c r="Q385" s="4">
        <v>19276.7</v>
      </c>
      <c r="R385" t="s">
        <v>27</v>
      </c>
      <c r="S385" t="s">
        <v>1</v>
      </c>
    </row>
    <row r="386" spans="1:19" x14ac:dyDescent="0.25">
      <c r="A386" t="s">
        <v>544</v>
      </c>
      <c r="B386" t="s">
        <v>545</v>
      </c>
      <c r="C386" t="s">
        <v>20</v>
      </c>
      <c r="D386" t="s">
        <v>21</v>
      </c>
      <c r="E386" t="s">
        <v>22</v>
      </c>
      <c r="F386" t="s">
        <v>23</v>
      </c>
      <c r="G386" t="s">
        <v>634</v>
      </c>
      <c r="H386" t="s">
        <v>635</v>
      </c>
      <c r="I386" s="3">
        <f>DATEVALUE("2024/09/09 00:00:00")</f>
        <v>45544</v>
      </c>
      <c r="J386" s="3">
        <f>DATEVALUE("2024/11/27 00:00:00")</f>
        <v>45623</v>
      </c>
      <c r="K386" s="3">
        <f>DATEVALUE("2024/12/04 00:00:00")</f>
        <v>45630</v>
      </c>
      <c r="L386" s="4">
        <v>47607.48</v>
      </c>
      <c r="M386" s="4">
        <v>47607.48</v>
      </c>
      <c r="N386" t="s">
        <v>26</v>
      </c>
      <c r="O386" s="4">
        <v>20315.310000000001</v>
      </c>
      <c r="P386" s="4">
        <v>0</v>
      </c>
      <c r="Q386" s="4">
        <v>20315.310000000001</v>
      </c>
      <c r="R386" t="s">
        <v>27</v>
      </c>
      <c r="S386" t="s">
        <v>1</v>
      </c>
    </row>
    <row r="387" spans="1:19" x14ac:dyDescent="0.25">
      <c r="A387" t="s">
        <v>544</v>
      </c>
      <c r="B387" t="s">
        <v>545</v>
      </c>
      <c r="C387" t="s">
        <v>20</v>
      </c>
      <c r="D387" t="s">
        <v>21</v>
      </c>
      <c r="E387" t="s">
        <v>22</v>
      </c>
      <c r="F387" t="s">
        <v>23</v>
      </c>
      <c r="G387" t="s">
        <v>636</v>
      </c>
      <c r="H387" t="s">
        <v>637</v>
      </c>
      <c r="I387" s="3">
        <f>DATEVALUE("2024/09/27 00:00:00")</f>
        <v>45562</v>
      </c>
      <c r="J387" s="3">
        <f>DATEVALUE("2024/12/10 00:00:00")</f>
        <v>45636</v>
      </c>
      <c r="K387" s="3">
        <f>DATEVALUE("2024/12/17 00:00:00")</f>
        <v>45643</v>
      </c>
      <c r="L387" s="4">
        <v>70008.320000000007</v>
      </c>
      <c r="M387" s="4">
        <v>70008.320000000007</v>
      </c>
      <c r="N387" t="s">
        <v>26</v>
      </c>
      <c r="O387" s="4">
        <v>19388.349999999999</v>
      </c>
      <c r="P387" s="4">
        <v>0</v>
      </c>
      <c r="Q387" s="4">
        <v>19388.349999999999</v>
      </c>
      <c r="R387" t="s">
        <v>27</v>
      </c>
      <c r="S387" t="s">
        <v>1</v>
      </c>
    </row>
    <row r="388" spans="1:19" x14ac:dyDescent="0.25">
      <c r="A388" t="s">
        <v>544</v>
      </c>
      <c r="B388" t="s">
        <v>545</v>
      </c>
      <c r="C388" t="s">
        <v>20</v>
      </c>
      <c r="D388" t="s">
        <v>21</v>
      </c>
      <c r="E388" t="s">
        <v>22</v>
      </c>
      <c r="F388" t="s">
        <v>23</v>
      </c>
      <c r="G388" t="s">
        <v>638</v>
      </c>
      <c r="H388" t="s">
        <v>639</v>
      </c>
      <c r="I388" s="3">
        <f>DATEVALUE("2024/09/27 00:00:00")</f>
        <v>45562</v>
      </c>
      <c r="J388" s="3">
        <f>DATEVALUE("2024/12/24 00:00:00")</f>
        <v>45650</v>
      </c>
      <c r="K388" s="3">
        <f>DATEVALUE("2024/12/31 00:00:00")</f>
        <v>45657</v>
      </c>
      <c r="L388" s="4">
        <v>68972.800000000003</v>
      </c>
      <c r="M388" s="4">
        <v>68972.800000000003</v>
      </c>
      <c r="N388" t="s">
        <v>26</v>
      </c>
      <c r="O388" s="4">
        <v>19395.52</v>
      </c>
      <c r="P388" s="4">
        <v>0</v>
      </c>
      <c r="Q388" s="4">
        <v>19395.52</v>
      </c>
      <c r="R388" t="s">
        <v>27</v>
      </c>
      <c r="S388" t="s">
        <v>1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SDL0800Q_20241111092113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顏劭仲 Wesley</dc:creator>
  <cp:lastModifiedBy>顏劭仲Wesley</cp:lastModifiedBy>
  <dcterms:created xsi:type="dcterms:W3CDTF">2024-11-11T01:22:19Z</dcterms:created>
  <dcterms:modified xsi:type="dcterms:W3CDTF">2024-11-11T01:22:19Z</dcterms:modified>
</cp:coreProperties>
</file>