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CashFlow_Straightline" sheetId="2" r:id="rId5"/>
  </sheets>
  <definedNames/>
  <calcPr/>
  <extLst>
    <ext uri="GoogleSheetsCustomDataVersion2">
      <go:sheetsCustomData xmlns:go="http://customooxmlschemas.google.com/" r:id="rId6" roundtripDataChecksum="xjTnb3XEvpSI1cjhgeUDOq8C0UoyGfajOk+CLtAv/NY="/>
    </ext>
  </extLst>
</workbook>
</file>

<file path=xl/sharedStrings.xml><?xml version="1.0" encoding="utf-8"?>
<sst xmlns="http://schemas.openxmlformats.org/spreadsheetml/2006/main" count="210" uniqueCount="164">
  <si>
    <t xml:space="preserve">Abbrev. </t>
  </si>
  <si>
    <t>Description</t>
  </si>
  <si>
    <t>Project Name</t>
  </si>
  <si>
    <t>Name your project, mentioning the design stage FEL-1 or FEL-2 would be appropriate</t>
  </si>
  <si>
    <t>Plant Location</t>
  </si>
  <si>
    <t>Decide on a location for your process if one has not been provided for you</t>
  </si>
  <si>
    <t>Case Description</t>
  </si>
  <si>
    <t xml:space="preserve">This should be more specifc than the project name (e.g. a specific set of assumption) </t>
  </si>
  <si>
    <t>Rev</t>
  </si>
  <si>
    <t>Document revision number.</t>
  </si>
  <si>
    <t>Date</t>
  </si>
  <si>
    <t>Date that document was completed</t>
  </si>
  <si>
    <t>By</t>
  </si>
  <si>
    <t>Initials of the person that created the document</t>
  </si>
  <si>
    <t>APVD</t>
  </si>
  <si>
    <t>Intial of the responsible person that has reviewed and approved the document</t>
  </si>
  <si>
    <t>Revenue and Production Costs</t>
  </si>
  <si>
    <t>Main Product Revenue</t>
  </si>
  <si>
    <t>Yearly revenue from the main product(s) when the process is operated at design capacity</t>
  </si>
  <si>
    <t>Byproduct Revenue</t>
  </si>
  <si>
    <t>Yearly revenue from the byproduct(s) when the process is operated at design capacity</t>
  </si>
  <si>
    <t>Raw Materials Cost</t>
  </si>
  <si>
    <t>Yearly cost of raw materials when operating at design capacity</t>
  </si>
  <si>
    <t>Utilities Cost</t>
  </si>
  <si>
    <t>Yearly cost of steam, electricity, cooling water, nitrogen, and fuel</t>
  </si>
  <si>
    <t>Consumables Cost</t>
  </si>
  <si>
    <t>Yearly cost of solvents, acids, bases, inert materia, inhibitors, additives, catalysts, adsorbents</t>
  </si>
  <si>
    <t>CO2 sustainability cost</t>
  </si>
  <si>
    <t>Yearly cost of for CO2 (set as ~$40/MT)</t>
  </si>
  <si>
    <t>VCOP</t>
  </si>
  <si>
    <t>Variable cost of operation (yearly basis). This value will scale with production rate.</t>
  </si>
  <si>
    <t>Salaries and overheads</t>
  </si>
  <si>
    <t>Cost of salaries, if known (not used in 184AB)</t>
  </si>
  <si>
    <t>Maintenance</t>
  </si>
  <si>
    <t>Cost of maintenance, if known (not used in 184AB)</t>
  </si>
  <si>
    <t>Interest</t>
  </si>
  <si>
    <t>Interest payment of any debts or loans to finance the project</t>
  </si>
  <si>
    <t>AGS</t>
  </si>
  <si>
    <t>Administrative &amp; General Sevices. Typically 5% of expected revenues.</t>
  </si>
  <si>
    <t>FCOP</t>
  </si>
  <si>
    <t xml:space="preserve">Fixed cost of operation. This value does not scale with production rate. </t>
  </si>
  <si>
    <t>Captial Costs</t>
  </si>
  <si>
    <t>ISBL Capital Cost</t>
  </si>
  <si>
    <t>inside battery limits investment (e.g. the equipment and installation for all equipment in the plant)</t>
  </si>
  <si>
    <t>OSBL Capital Cost</t>
  </si>
  <si>
    <t>outside battery limits investment (e.g. all costs outide the plant but necessary for successful project integration such as new roads, electrical infrastucture, steam plant connections)</t>
  </si>
  <si>
    <t>Indirect Cost</t>
  </si>
  <si>
    <t>Costs associated with plant not directly tied to the installation of equipment (engineering supervision, accounting &amp; admin)</t>
  </si>
  <si>
    <t>Contingency</t>
  </si>
  <si>
    <t>Costs to account for uncertainty in price estimates</t>
  </si>
  <si>
    <t>Total Fixed Capital Cost</t>
  </si>
  <si>
    <t>Sum of above categories</t>
  </si>
  <si>
    <t>Working Capital</t>
  </si>
  <si>
    <t xml:space="preserve">Capital to purchase raw material and maintain operations. Working capital can be recovered if the plant shuts down. Typically estimated as 1-2 months of the cost of raw materials. </t>
  </si>
  <si>
    <t>Start-up Costs</t>
  </si>
  <si>
    <t>Additional costs associated with troubleshooting, etc. to reach design capacity</t>
  </si>
  <si>
    <t>Land</t>
  </si>
  <si>
    <t>Include if land is to be purchased as part of the project</t>
  </si>
  <si>
    <t>Total Capital Investment</t>
  </si>
  <si>
    <t>SUM of all capital investments (fixed, working, start up, land)</t>
  </si>
  <si>
    <t>Construction Schedule</t>
  </si>
  <si>
    <t>% FC</t>
  </si>
  <si>
    <t>Percent of total fixed capital spent in each project year.</t>
  </si>
  <si>
    <t>% WC</t>
  </si>
  <si>
    <t>Percent of total working capital spent in each project year.</t>
  </si>
  <si>
    <t>% SU</t>
  </si>
  <si>
    <t>Percentage of startup captial spent in each project year</t>
  </si>
  <si>
    <t>% FCOP</t>
  </si>
  <si>
    <t xml:space="preserve">Percent of calculated fixed costs of operation spent in each working year. This term will typically be 100% for all years of operation. </t>
  </si>
  <si>
    <t>% VCOP</t>
  </si>
  <si>
    <t>Percent of calculated variable costs of operation spent in each working year. This term may be less than 100% during plant start-up.</t>
  </si>
  <si>
    <t>Economic Assumptions</t>
  </si>
  <si>
    <t>On Stream</t>
  </si>
  <si>
    <t>Assumed number of hours that the plant will be operating. If unknown, start with 8400 hrs. This approximation included ~2 weeks of downtime for maintanence, catalyst change, improvement projects.</t>
  </si>
  <si>
    <t>Project Life</t>
  </si>
  <si>
    <t>Include all years (construction and active operation)</t>
  </si>
  <si>
    <t>Discount Rate</t>
  </si>
  <si>
    <t>Defined by project statement</t>
  </si>
  <si>
    <t>Tax Rate</t>
  </si>
  <si>
    <t>Salvage value</t>
  </si>
  <si>
    <t>Percent of FCI that is recovered at end of project life</t>
  </si>
  <si>
    <t>MARCS Depreciable</t>
  </si>
  <si>
    <t>Fixed capital + start-up capital</t>
  </si>
  <si>
    <t>Straight Line Depreciable</t>
  </si>
  <si>
    <t>Fixed capital + start-up capital - salvage</t>
  </si>
  <si>
    <t>Cashflow Analysis</t>
  </si>
  <si>
    <t>Project Year</t>
  </si>
  <si>
    <t>Cash flows are reported per year of the project</t>
  </si>
  <si>
    <t>Cap. Ex.</t>
  </si>
  <si>
    <t>Captial expense (sum of VCOP and FCOP based on construction schedule). Flow out of the company is negative.</t>
  </si>
  <si>
    <t>Revenue</t>
  </si>
  <si>
    <t>Total revenue by year</t>
  </si>
  <si>
    <t>COM</t>
  </si>
  <si>
    <t>Total cost of manufacturing by year</t>
  </si>
  <si>
    <t>Gr. Profit</t>
  </si>
  <si>
    <t>Gross profit by year (Revenue-COM)</t>
  </si>
  <si>
    <t>Deprcn.</t>
  </si>
  <si>
    <t>Depreciation by year (depends on depreciation method: straightline or MACRS)</t>
  </si>
  <si>
    <t>Taxable Inc</t>
  </si>
  <si>
    <t>Taxable income: Gr. Profit-Deprcn</t>
  </si>
  <si>
    <t>Taxes Paid</t>
  </si>
  <si>
    <t>Taxes paid on taxable income</t>
  </si>
  <si>
    <t>Cash Flow</t>
  </si>
  <si>
    <t>Cash flows by year: Capital Expense + (Revenue - COM - Depreciation)x(1-Tax Rate)+Depreciation</t>
  </si>
  <si>
    <t>PV of CF</t>
  </si>
  <si>
    <t>Discounted cash flows</t>
  </si>
  <si>
    <t>NPV</t>
  </si>
  <si>
    <t>Net present value</t>
  </si>
  <si>
    <t>Economic Analysis</t>
  </si>
  <si>
    <r>
      <rPr>
        <rFont val="Arial"/>
        <b/>
        <color theme="1"/>
        <sz val="16.0"/>
      </rPr>
      <t>BICC, Inc.</t>
    </r>
    <r>
      <rPr>
        <rFont val="Arial"/>
        <b/>
        <color theme="1"/>
        <sz val="14.0"/>
      </rPr>
      <t xml:space="preserve">
</t>
    </r>
    <r>
      <rPr>
        <rFont val="Arial"/>
        <b val="0"/>
        <color theme="1"/>
        <sz val="8.0"/>
      </rPr>
      <t xml:space="preserve">123 Lagoon Road
Santa Barbara, CA
</t>
    </r>
    <r>
      <rPr>
        <rFont val="Arial"/>
        <b/>
        <color theme="1"/>
        <sz val="8.0"/>
      </rPr>
      <t xml:space="preserve">
</t>
    </r>
    <r>
      <rPr>
        <rFont val="Arial"/>
        <b/>
        <color theme="1"/>
        <sz val="14.0"/>
      </rPr>
      <t xml:space="preserve">ECONOMIC ANALYSIS
</t>
    </r>
  </si>
  <si>
    <t>Project Name: Ethylene Production via Ethane Cracking of Theramal Steam Group 10</t>
  </si>
  <si>
    <t xml:space="preserve">Date </t>
  </si>
  <si>
    <t>BY</t>
  </si>
  <si>
    <t>V1.1</t>
  </si>
  <si>
    <t>JPC</t>
  </si>
  <si>
    <t>MFD</t>
  </si>
  <si>
    <t>V2</t>
  </si>
  <si>
    <t>IH</t>
  </si>
  <si>
    <t>WJ</t>
  </si>
  <si>
    <t>TR</t>
  </si>
  <si>
    <t>REVENUES AND PRODUCTION COSTS</t>
  </si>
  <si>
    <t>CAPITAL COSTS</t>
  </si>
  <si>
    <t>CONSTRUCTION SCHEDULE</t>
  </si>
  <si>
    <t>$MM/yr</t>
  </si>
  <si>
    <t>$MM</t>
  </si>
  <si>
    <t>Year</t>
  </si>
  <si>
    <t>Main product revenue</t>
  </si>
  <si>
    <t>Ethylene ($/MT * MT/yr)</t>
  </si>
  <si>
    <t>(Rxtr + Sep)</t>
  </si>
  <si>
    <t>Byproduct revenue</t>
  </si>
  <si>
    <t>Hydrogen ($/MT * MT/yr)</t>
  </si>
  <si>
    <t>~40%ISBL</t>
  </si>
  <si>
    <t>Raw materials cost</t>
  </si>
  <si>
    <t>Ethane ($/MT * MT/yr)</t>
  </si>
  <si>
    <t>~30%ISBL</t>
  </si>
  <si>
    <t>Utilities cost</t>
  </si>
  <si>
    <t>Steam + Fuel</t>
  </si>
  <si>
    <t>~25%ISBL</t>
  </si>
  <si>
    <t>Consumables cost</t>
  </si>
  <si>
    <r>
      <rPr>
        <rFont val="Arial"/>
        <color theme="1"/>
        <sz val="11.0"/>
      </rPr>
      <t>CO</t>
    </r>
    <r>
      <rPr>
        <rFont val="Arial"/>
        <color theme="1"/>
        <sz val="11.0"/>
        <vertAlign val="subscript"/>
      </rPr>
      <t>2</t>
    </r>
    <r>
      <rPr>
        <rFont val="Arial"/>
        <color theme="1"/>
        <sz val="11.0"/>
      </rPr>
      <t xml:space="preserve"> sustainability charge</t>
    </r>
  </si>
  <si>
    <t>5%-30% FCI</t>
  </si>
  <si>
    <t>6+</t>
  </si>
  <si>
    <t>Salary and overheads</t>
  </si>
  <si>
    <t>~10%FCI</t>
  </si>
  <si>
    <t>~5% Revenue</t>
  </si>
  <si>
    <t>ECONOMIC ASSUMPTIONS</t>
  </si>
  <si>
    <t>hr/yr</t>
  </si>
  <si>
    <t>Depreciation method</t>
  </si>
  <si>
    <t>Straight-Line</t>
  </si>
  <si>
    <t>day/yr</t>
  </si>
  <si>
    <t>Depreciation period</t>
  </si>
  <si>
    <t>yrs</t>
  </si>
  <si>
    <t>yr</t>
  </si>
  <si>
    <t>Salvage Value</t>
  </si>
  <si>
    <t>CASH FLOW ANALYSIS</t>
  </si>
  <si>
    <t>All figures in $MM unless indicated</t>
  </si>
  <si>
    <t>Cummulative Cash Flow</t>
  </si>
  <si>
    <t>Cummulative PV of CF</t>
  </si>
  <si>
    <t>ECONOMIC ANALYSIS</t>
  </si>
  <si>
    <t>15 years</t>
  </si>
  <si>
    <t>IRR</t>
  </si>
  <si>
    <t>NPV at yr</t>
  </si>
  <si>
    <t>NOTES</t>
  </si>
  <si>
    <t>All cash flows are assumed to occur at the end of the project year.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</si>
</sst>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"/>
  </numFmts>
  <fonts count="11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b/>
      <sz val="14.0"/>
      <color theme="1"/>
      <name val="Arial"/>
    </font>
    <font/>
    <font>
      <sz val="11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u/>
      <sz val="11.0"/>
      <color theme="1"/>
      <name val="Arial"/>
    </font>
    <font>
      <i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</fills>
  <borders count="28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</border>
    <border>
      <left style="thin">
        <color rgb="FF000000"/>
      </left>
      <top/>
    </border>
    <border>
      <top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left" shrinkToFit="0" vertical="top" wrapText="1"/>
    </xf>
    <xf borderId="3" fillId="0" fontId="5" numFmtId="0" xfId="0" applyBorder="1" applyFont="1"/>
    <xf borderId="4" fillId="0" fontId="5" numFmtId="0" xfId="0" applyBorder="1" applyFont="1"/>
    <xf borderId="3" fillId="0" fontId="6" numFmtId="0" xfId="0" applyAlignment="1" applyBorder="1" applyFont="1">
      <alignment horizontal="left" readingOrder="0"/>
    </xf>
    <xf borderId="0" fillId="0" fontId="7" numFmtId="0" xfId="0" applyFont="1"/>
    <xf borderId="5" fillId="0" fontId="5" numFmtId="0" xfId="0" applyBorder="1" applyFont="1"/>
    <xf borderId="6" fillId="0" fontId="5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7" numFmtId="0" xfId="0" applyAlignment="1" applyBorder="1" applyFont="1">
      <alignment horizontal="center"/>
    </xf>
    <xf borderId="8" fillId="0" fontId="7" numFmtId="14" xfId="0" applyBorder="1" applyFont="1" applyNumberFormat="1"/>
    <xf borderId="8" fillId="0" fontId="7" numFmtId="0" xfId="0" applyAlignment="1" applyBorder="1" applyFont="1">
      <alignment horizontal="center"/>
    </xf>
    <xf borderId="8" fillId="0" fontId="7" numFmtId="0" xfId="0" applyBorder="1" applyFont="1"/>
    <xf borderId="8" fillId="0" fontId="7" numFmtId="14" xfId="0" applyAlignment="1" applyBorder="1" applyFont="1" applyNumberFormat="1">
      <alignment readingOrder="0"/>
    </xf>
    <xf borderId="2" fillId="0" fontId="8" numFmtId="0" xfId="0" applyAlignment="1" applyBorder="1" applyFont="1">
      <alignment horizontal="left"/>
    </xf>
    <xf borderId="7" fillId="0" fontId="7" numFmtId="0" xfId="0" applyBorder="1" applyFont="1"/>
    <xf borderId="9" fillId="0" fontId="8" numFmtId="0" xfId="0" applyAlignment="1" applyBorder="1" applyFont="1">
      <alignment horizontal="left"/>
    </xf>
    <xf borderId="10" fillId="0" fontId="5" numFmtId="0" xfId="0" applyBorder="1" applyFont="1"/>
    <xf borderId="11" fillId="0" fontId="5" numFmtId="0" xfId="0" applyBorder="1" applyFont="1"/>
    <xf borderId="12" fillId="2" fontId="8" numFmtId="0" xfId="0" applyBorder="1" applyFill="1" applyFont="1"/>
    <xf borderId="13" fillId="0" fontId="5" numFmtId="0" xfId="0" applyBorder="1" applyFont="1"/>
    <xf borderId="14" fillId="0" fontId="5" numFmtId="0" xfId="0" applyBorder="1" applyFont="1"/>
    <xf borderId="15" fillId="2" fontId="8" numFmtId="0" xfId="0" applyBorder="1" applyFont="1"/>
    <xf borderId="1" fillId="0" fontId="5" numFmtId="0" xfId="0" applyBorder="1" applyFont="1"/>
    <xf borderId="7" fillId="0" fontId="5" numFmtId="0" xfId="0" applyBorder="1" applyFont="1"/>
    <xf borderId="16" fillId="3" fontId="6" numFmtId="0" xfId="0" applyBorder="1" applyFill="1" applyFont="1"/>
    <xf borderId="17" fillId="0" fontId="5" numFmtId="0" xfId="0" applyBorder="1" applyFont="1"/>
    <xf borderId="18" fillId="0" fontId="5" numFmtId="0" xfId="0" applyBorder="1" applyFont="1"/>
    <xf borderId="19" fillId="3" fontId="6" numFmtId="0" xfId="0" applyBorder="1" applyFont="1"/>
    <xf borderId="20" fillId="3" fontId="6" numFmtId="0" xfId="0" applyBorder="1" applyFont="1"/>
    <xf borderId="21" fillId="3" fontId="6" numFmtId="0" xfId="0" applyBorder="1" applyFont="1"/>
    <xf borderId="22" fillId="3" fontId="6" numFmtId="0" xfId="0" applyBorder="1" applyFont="1"/>
    <xf borderId="23" fillId="3" fontId="6" numFmtId="0" xfId="0" applyBorder="1" applyFont="1"/>
    <xf borderId="0" fillId="0" fontId="9" numFmtId="0" xfId="0" applyAlignment="1" applyFont="1">
      <alignment horizontal="center"/>
    </xf>
    <xf borderId="6" fillId="0" fontId="6" numFmtId="0" xfId="0" applyBorder="1" applyFont="1"/>
    <xf borderId="0" fillId="0" fontId="6" numFmtId="0" xfId="0" applyFont="1"/>
    <xf borderId="23" fillId="3" fontId="6" numFmtId="0" xfId="0" applyAlignment="1" applyBorder="1" applyFont="1">
      <alignment horizontal="center"/>
    </xf>
    <xf borderId="19" fillId="3" fontId="6" numFmtId="0" xfId="0" applyAlignment="1" applyBorder="1" applyFont="1">
      <alignment horizontal="center"/>
    </xf>
    <xf borderId="24" fillId="0" fontId="5" numFmtId="0" xfId="0" applyBorder="1" applyFont="1"/>
    <xf borderId="0" fillId="4" fontId="6" numFmtId="164" xfId="0" applyAlignment="1" applyFill="1" applyFont="1" applyNumberFormat="1">
      <alignment readingOrder="0"/>
    </xf>
    <xf borderId="6" fillId="0" fontId="6" numFmtId="0" xfId="0" applyAlignment="1" applyBorder="1" applyFont="1">
      <alignment readingOrder="0"/>
    </xf>
    <xf borderId="0" fillId="0" fontId="6" numFmtId="0" xfId="0" applyAlignment="1" applyFont="1">
      <alignment horizontal="left"/>
    </xf>
    <xf borderId="19" fillId="3" fontId="6" numFmtId="0" xfId="0" applyAlignment="1" applyBorder="1" applyFont="1">
      <alignment readingOrder="0"/>
    </xf>
    <xf borderId="0" fillId="0" fontId="7" numFmtId="165" xfId="0" applyAlignment="1" applyFont="1" applyNumberFormat="1">
      <alignment horizontal="center"/>
    </xf>
    <xf borderId="19" fillId="3" fontId="6" numFmtId="10" xfId="0" applyAlignment="1" applyBorder="1" applyFont="1" applyNumberFormat="1">
      <alignment horizontal="center"/>
    </xf>
    <xf borderId="0" fillId="0" fontId="6" numFmtId="164" xfId="0" applyFont="1" applyNumberFormat="1"/>
    <xf borderId="19" fillId="3" fontId="6" numFmtId="9" xfId="0" applyAlignment="1" applyBorder="1" applyFont="1" applyNumberFormat="1">
      <alignment horizontal="center" readingOrder="0"/>
    </xf>
    <xf borderId="19" fillId="3" fontId="6" numFmtId="9" xfId="0" applyAlignment="1" applyBorder="1" applyFont="1" applyNumberFormat="1">
      <alignment horizontal="center"/>
    </xf>
    <xf borderId="0" fillId="0" fontId="7" numFmtId="9" xfId="0" applyFont="1" applyNumberFormat="1"/>
    <xf borderId="0" fillId="0" fontId="6" numFmtId="164" xfId="0" applyAlignment="1" applyFont="1" applyNumberFormat="1">
      <alignment readingOrder="0"/>
    </xf>
    <xf borderId="0" fillId="4" fontId="6" numFmtId="164" xfId="0" applyFont="1" applyNumberFormat="1"/>
    <xf borderId="0" fillId="0" fontId="7" numFmtId="9" xfId="0" applyAlignment="1" applyFont="1" applyNumberFormat="1">
      <alignment horizontal="center" readingOrder="0"/>
    </xf>
    <xf borderId="1" fillId="0" fontId="6" numFmtId="164" xfId="0" applyBorder="1" applyFont="1" applyNumberFormat="1"/>
    <xf borderId="5" fillId="0" fontId="7" numFmtId="0" xfId="0" applyBorder="1" applyFont="1"/>
    <xf borderId="25" fillId="3" fontId="6" numFmtId="0" xfId="0" applyBorder="1" applyFont="1"/>
    <xf borderId="26" fillId="0" fontId="5" numFmtId="0" xfId="0" applyBorder="1" applyFont="1"/>
    <xf borderId="27" fillId="3" fontId="6" numFmtId="0" xfId="0" applyBorder="1" applyFont="1"/>
    <xf borderId="15" fillId="5" fontId="6" numFmtId="0" xfId="0" applyAlignment="1" applyBorder="1" applyFill="1" applyFont="1">
      <alignment horizontal="left"/>
    </xf>
    <xf borderId="5" fillId="0" fontId="6" numFmtId="0" xfId="0" applyBorder="1" applyFont="1"/>
    <xf borderId="0" fillId="0" fontId="6" numFmtId="0" xfId="0" applyAlignment="1" applyFont="1">
      <alignment horizontal="right"/>
    </xf>
    <xf borderId="0" fillId="0" fontId="6" numFmtId="9" xfId="0" applyFont="1" applyNumberFormat="1"/>
    <xf borderId="0" fillId="0" fontId="6" numFmtId="0" xfId="0" applyAlignment="1" applyFont="1">
      <alignment readingOrder="0"/>
    </xf>
    <xf borderId="5" fillId="0" fontId="8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6" fillId="0" fontId="8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0" fillId="0" fontId="6" numFmtId="0" xfId="0" applyAlignment="1" applyFont="1">
      <alignment horizontal="center"/>
    </xf>
    <xf borderId="6" fillId="0" fontId="7" numFmtId="0" xfId="0" applyBorder="1" applyFont="1"/>
    <xf borderId="0" fillId="0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19" fillId="6" fontId="6" numFmtId="0" xfId="0" applyAlignment="1" applyBorder="1" applyFill="1" applyFont="1">
      <alignment horizontal="right"/>
    </xf>
    <xf borderId="19" fillId="6" fontId="6" numFmtId="164" xfId="0" applyBorder="1" applyFont="1" applyNumberFormat="1"/>
    <xf borderId="19" fillId="6" fontId="6" numFmtId="0" xfId="0" applyBorder="1" applyFont="1"/>
    <xf borderId="0" fillId="0" fontId="6" numFmtId="165" xfId="0" applyFont="1" applyNumberFormat="1"/>
    <xf borderId="19" fillId="6" fontId="6" numFmtId="9" xfId="0" applyBorder="1" applyFont="1" applyNumberFormat="1"/>
    <xf borderId="19" fillId="6" fontId="6" numFmtId="0" xfId="0" applyAlignment="1" applyBorder="1" applyFont="1">
      <alignment readingOrder="0"/>
    </xf>
    <xf borderId="0" fillId="0" fontId="6" numFmtId="9" xfId="0" applyAlignment="1" applyFont="1" applyNumberFormat="1">
      <alignment horizontal="right"/>
    </xf>
    <xf borderId="5" fillId="0" fontId="8" numFmtId="166" xfId="0" applyBorder="1" applyFont="1" applyNumberForma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Cumulative Cash Flow Diagram</a:t>
            </a:r>
          </a:p>
        </c:rich>
      </c:tx>
      <c:layout>
        <c:manualLayout>
          <c:xMode val="edge"/>
          <c:yMode val="edge"/>
          <c:x val="0.02783333333333333"/>
          <c:y val="0.0529940119760479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Nondiscounted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CashFlow_Straightline!$B$33:$B$45</c:f>
            </c:numRef>
          </c:xVal>
          <c:yVal>
            <c:numRef>
              <c:f>CashFlow_Straightline!$K$33:$K$45</c:f>
              <c:numCache/>
            </c:numRef>
          </c:yVal>
        </c:ser>
        <c:ser>
          <c:idx val="1"/>
          <c:order val="1"/>
          <c:tx>
            <c:v>Discounted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CashFlow_Straightline!$B$33:$B$45</c:f>
            </c:numRef>
          </c:xVal>
          <c:yVal>
            <c:numRef>
              <c:f>CashFlow_Straightline!$M$33:$M$45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75593"/>
        <c:axId val="1353588904"/>
      </c:scatterChart>
      <c:valAx>
        <c:axId val="1991175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588904"/>
      </c:valAx>
      <c:valAx>
        <c:axId val="135358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NPV [$MM]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117559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Discounted Cash Flow Diagram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CashFlow_Straightline!$B$33:$B$48</c:f>
            </c:strRef>
          </c:cat>
          <c:val>
            <c:numRef>
              <c:f>CashFlow_Straightline!$N$33:$N$48</c:f>
              <c:numCache/>
            </c:numRef>
          </c:val>
        </c:ser>
        <c:axId val="1773317844"/>
        <c:axId val="1089463110"/>
      </c:barChart>
      <c:catAx>
        <c:axId val="1773317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463110"/>
      </c:catAx>
      <c:valAx>
        <c:axId val="1089463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NPV [$MM]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317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Nondiscounted Cash Flow Diagram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CashFlow_Straightline!$J$31:$J$32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CashFlow_Straightline!$B$33:$B$48</c:f>
            </c:strRef>
          </c:cat>
          <c:val>
            <c:numRef>
              <c:f>CashFlow_Straightline!$J$33:$J$48</c:f>
              <c:numCache/>
            </c:numRef>
          </c:val>
        </c:ser>
        <c:axId val="1407561250"/>
        <c:axId val="1820264805"/>
      </c:barChart>
      <c:catAx>
        <c:axId val="1407561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264805"/>
      </c:catAx>
      <c:valAx>
        <c:axId val="1820264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NPV [$/MM]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561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66675</xdr:colOff>
      <xdr:row>0</xdr:row>
      <xdr:rowOff>142875</xdr:rowOff>
    </xdr:from>
    <xdr:ext cx="5715000" cy="3181350"/>
    <xdr:graphicFrame>
      <xdr:nvGraphicFramePr>
        <xdr:cNvPr id="17459089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66675</xdr:colOff>
      <xdr:row>18</xdr:row>
      <xdr:rowOff>76200</xdr:rowOff>
    </xdr:from>
    <xdr:ext cx="5715000" cy="3533775"/>
    <xdr:graphicFrame>
      <xdr:nvGraphicFramePr>
        <xdr:cNvPr id="16066087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66675</xdr:colOff>
      <xdr:row>38</xdr:row>
      <xdr:rowOff>66675</xdr:rowOff>
    </xdr:from>
    <xdr:ext cx="5715000" cy="3533775"/>
    <xdr:graphicFrame>
      <xdr:nvGraphicFramePr>
        <xdr:cNvPr id="186919951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44"/>
    <col customWidth="1" min="2" max="2" width="169.67"/>
    <col customWidth="1" min="3" max="26" width="8.89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2" t="s">
        <v>7</v>
      </c>
    </row>
    <row r="5" ht="15.75" customHeight="1">
      <c r="A5" s="2" t="s">
        <v>8</v>
      </c>
      <c r="B5" s="2" t="s">
        <v>9</v>
      </c>
    </row>
    <row r="6" ht="15.75" customHeight="1">
      <c r="A6" s="2" t="s">
        <v>10</v>
      </c>
      <c r="B6" s="2" t="s">
        <v>11</v>
      </c>
    </row>
    <row r="7" ht="15.75" customHeight="1">
      <c r="A7" s="2" t="s">
        <v>12</v>
      </c>
      <c r="B7" s="2" t="s">
        <v>13</v>
      </c>
    </row>
    <row r="8" ht="15.75" customHeight="1">
      <c r="A8" s="2" t="s">
        <v>14</v>
      </c>
      <c r="B8" s="2" t="s">
        <v>15</v>
      </c>
    </row>
    <row r="9" ht="15.75" customHeight="1"/>
    <row r="10" ht="15.75" customHeight="1">
      <c r="A10" s="1" t="s">
        <v>16</v>
      </c>
      <c r="B10" s="3"/>
    </row>
    <row r="11" ht="15.75" customHeight="1">
      <c r="A11" s="2" t="s">
        <v>17</v>
      </c>
      <c r="B11" s="2" t="s">
        <v>18</v>
      </c>
    </row>
    <row r="12" ht="15.75" customHeight="1">
      <c r="A12" s="2" t="s">
        <v>19</v>
      </c>
      <c r="B12" s="2" t="s">
        <v>20</v>
      </c>
    </row>
    <row r="13" ht="15.75" customHeight="1">
      <c r="A13" s="2" t="s">
        <v>21</v>
      </c>
      <c r="B13" s="2" t="s">
        <v>22</v>
      </c>
    </row>
    <row r="14" ht="15.75" customHeight="1">
      <c r="A14" s="2" t="s">
        <v>23</v>
      </c>
      <c r="B14" s="2" t="s">
        <v>24</v>
      </c>
    </row>
    <row r="15" ht="15.75" customHeight="1">
      <c r="A15" s="2" t="s">
        <v>25</v>
      </c>
      <c r="B15" s="2" t="s">
        <v>26</v>
      </c>
    </row>
    <row r="16" ht="15.75" customHeight="1">
      <c r="A16" s="2" t="s">
        <v>27</v>
      </c>
      <c r="B16" s="2" t="s">
        <v>28</v>
      </c>
    </row>
    <row r="17" ht="15.75" customHeight="1">
      <c r="A17" s="2" t="s">
        <v>29</v>
      </c>
      <c r="B17" s="2" t="s">
        <v>30</v>
      </c>
    </row>
    <row r="18" ht="15.75" customHeight="1">
      <c r="A18" s="2" t="s">
        <v>31</v>
      </c>
      <c r="B18" s="2" t="s">
        <v>32</v>
      </c>
    </row>
    <row r="19" ht="15.75" customHeight="1">
      <c r="A19" s="2" t="s">
        <v>33</v>
      </c>
      <c r="B19" s="2" t="s">
        <v>34</v>
      </c>
    </row>
    <row r="20" ht="15.75" customHeight="1">
      <c r="A20" s="2" t="s">
        <v>35</v>
      </c>
      <c r="B20" s="2" t="s">
        <v>36</v>
      </c>
    </row>
    <row r="21" ht="15.75" customHeight="1">
      <c r="A21" s="2" t="s">
        <v>37</v>
      </c>
      <c r="B21" s="2" t="s">
        <v>38</v>
      </c>
    </row>
    <row r="22" ht="15.75" customHeight="1">
      <c r="A22" s="2" t="s">
        <v>39</v>
      </c>
      <c r="B22" s="2" t="s">
        <v>40</v>
      </c>
    </row>
    <row r="23" ht="15.75" customHeight="1"/>
    <row r="24" ht="15.75" customHeight="1">
      <c r="A24" s="1" t="s">
        <v>41</v>
      </c>
      <c r="B24" s="3"/>
    </row>
    <row r="25" ht="15.75" customHeight="1">
      <c r="A25" s="2" t="s">
        <v>42</v>
      </c>
      <c r="B25" s="2" t="s">
        <v>43</v>
      </c>
    </row>
    <row r="26" ht="15.75" customHeight="1">
      <c r="A26" s="2" t="s">
        <v>44</v>
      </c>
      <c r="B26" s="2" t="s">
        <v>45</v>
      </c>
    </row>
    <row r="27" ht="15.75" customHeight="1">
      <c r="A27" s="2" t="s">
        <v>46</v>
      </c>
      <c r="B27" s="2" t="s">
        <v>47</v>
      </c>
    </row>
    <row r="28" ht="15.75" customHeight="1">
      <c r="A28" s="2" t="s">
        <v>48</v>
      </c>
      <c r="B28" s="2" t="s">
        <v>49</v>
      </c>
    </row>
    <row r="29" ht="15.75" customHeight="1">
      <c r="A29" s="2" t="s">
        <v>50</v>
      </c>
      <c r="B29" s="2" t="s">
        <v>51</v>
      </c>
    </row>
    <row r="30" ht="15.75" customHeight="1">
      <c r="A30" s="2" t="s">
        <v>52</v>
      </c>
      <c r="B30" s="2" t="s">
        <v>53</v>
      </c>
    </row>
    <row r="31" ht="15.75" customHeight="1">
      <c r="A31" s="2" t="s">
        <v>54</v>
      </c>
      <c r="B31" s="2" t="s">
        <v>55</v>
      </c>
    </row>
    <row r="32" ht="15.75" customHeight="1">
      <c r="A32" s="2" t="s">
        <v>56</v>
      </c>
      <c r="B32" s="2" t="s">
        <v>57</v>
      </c>
    </row>
    <row r="33" ht="15.75" customHeight="1">
      <c r="A33" s="2" t="s">
        <v>58</v>
      </c>
      <c r="B33" s="2" t="s">
        <v>59</v>
      </c>
    </row>
    <row r="34" ht="15.75" customHeight="1"/>
    <row r="35" ht="15.75" customHeight="1">
      <c r="A35" s="1" t="s">
        <v>60</v>
      </c>
      <c r="B35" s="3"/>
    </row>
    <row r="36" ht="15.75" customHeight="1">
      <c r="A36" s="2" t="s">
        <v>61</v>
      </c>
      <c r="B36" s="2" t="s">
        <v>62</v>
      </c>
    </row>
    <row r="37" ht="15.75" customHeight="1">
      <c r="A37" s="2" t="s">
        <v>63</v>
      </c>
      <c r="B37" s="2" t="s">
        <v>64</v>
      </c>
    </row>
    <row r="38" ht="15.75" customHeight="1">
      <c r="A38" s="2" t="s">
        <v>65</v>
      </c>
      <c r="B38" s="2" t="s">
        <v>66</v>
      </c>
    </row>
    <row r="39" ht="15.75" customHeight="1">
      <c r="A39" s="2" t="s">
        <v>67</v>
      </c>
      <c r="B39" s="2" t="s">
        <v>68</v>
      </c>
    </row>
    <row r="40" ht="15.75" customHeight="1">
      <c r="A40" s="2" t="s">
        <v>69</v>
      </c>
      <c r="B40" s="2" t="s">
        <v>70</v>
      </c>
    </row>
    <row r="41" ht="15.75" customHeight="1"/>
    <row r="42" ht="15.75" customHeight="1">
      <c r="A42" s="1" t="s">
        <v>71</v>
      </c>
      <c r="B42" s="3"/>
    </row>
    <row r="43" ht="15.75" customHeight="1">
      <c r="A43" s="2" t="s">
        <v>72</v>
      </c>
      <c r="B43" s="2" t="s">
        <v>73</v>
      </c>
    </row>
    <row r="44" ht="15.75" customHeight="1">
      <c r="A44" s="2" t="s">
        <v>74</v>
      </c>
      <c r="B44" s="2" t="s">
        <v>75</v>
      </c>
    </row>
    <row r="45" ht="15.75" customHeight="1">
      <c r="A45" s="2" t="s">
        <v>76</v>
      </c>
      <c r="B45" s="2" t="s">
        <v>77</v>
      </c>
    </row>
    <row r="46" ht="15.75" customHeight="1">
      <c r="A46" s="2" t="s">
        <v>78</v>
      </c>
      <c r="B46" s="2" t="s">
        <v>77</v>
      </c>
    </row>
    <row r="47" ht="15.75" customHeight="1">
      <c r="A47" s="2" t="s">
        <v>79</v>
      </c>
      <c r="B47" s="2" t="s">
        <v>80</v>
      </c>
    </row>
    <row r="48" ht="15.75" customHeight="1">
      <c r="A48" s="2" t="s">
        <v>81</v>
      </c>
      <c r="B48" s="2" t="s">
        <v>82</v>
      </c>
    </row>
    <row r="49" ht="15.75" customHeight="1">
      <c r="A49" s="2" t="s">
        <v>83</v>
      </c>
      <c r="B49" s="2" t="s">
        <v>84</v>
      </c>
    </row>
    <row r="50" ht="15.75" customHeight="1"/>
    <row r="51" ht="15.75" customHeight="1">
      <c r="A51" s="1" t="s">
        <v>85</v>
      </c>
      <c r="B51" s="3"/>
    </row>
    <row r="52" ht="15.75" customHeight="1">
      <c r="A52" s="2" t="s">
        <v>86</v>
      </c>
      <c r="B52" s="2" t="s">
        <v>87</v>
      </c>
    </row>
    <row r="53" ht="15.75" customHeight="1">
      <c r="A53" s="2" t="s">
        <v>88</v>
      </c>
      <c r="B53" s="2" t="s">
        <v>89</v>
      </c>
    </row>
    <row r="54" ht="15.75" customHeight="1">
      <c r="A54" s="2" t="s">
        <v>90</v>
      </c>
      <c r="B54" s="2" t="s">
        <v>91</v>
      </c>
    </row>
    <row r="55" ht="15.75" customHeight="1">
      <c r="A55" s="2" t="s">
        <v>92</v>
      </c>
      <c r="B55" s="2" t="s">
        <v>93</v>
      </c>
    </row>
    <row r="56" ht="15.75" customHeight="1">
      <c r="A56" s="2" t="s">
        <v>94</v>
      </c>
      <c r="B56" s="2" t="s">
        <v>95</v>
      </c>
    </row>
    <row r="57" ht="15.75" customHeight="1">
      <c r="A57" s="2" t="s">
        <v>96</v>
      </c>
      <c r="B57" s="2" t="s">
        <v>97</v>
      </c>
    </row>
    <row r="58" ht="15.75" customHeight="1">
      <c r="A58" s="2" t="s">
        <v>98</v>
      </c>
      <c r="B58" s="2" t="s">
        <v>99</v>
      </c>
    </row>
    <row r="59" ht="15.75" customHeight="1">
      <c r="A59" s="2" t="s">
        <v>100</v>
      </c>
      <c r="B59" s="2" t="s">
        <v>101</v>
      </c>
    </row>
    <row r="60" ht="15.75" customHeight="1">
      <c r="A60" s="2" t="s">
        <v>102</v>
      </c>
      <c r="B60" s="2" t="s">
        <v>103</v>
      </c>
    </row>
    <row r="61" ht="15.75" customHeight="1">
      <c r="A61" s="2" t="s">
        <v>104</v>
      </c>
      <c r="B61" s="2" t="s">
        <v>105</v>
      </c>
    </row>
    <row r="62" ht="15.75" customHeight="1">
      <c r="A62" s="2" t="s">
        <v>106</v>
      </c>
      <c r="B62" s="2" t="s">
        <v>107</v>
      </c>
    </row>
    <row r="63" ht="15.75" customHeight="1"/>
    <row r="64" ht="15.75" customHeight="1">
      <c r="A64" s="1" t="s">
        <v>108</v>
      </c>
      <c r="B64" s="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3.44"/>
    <col customWidth="1" min="2" max="2" width="22.44"/>
    <col customWidth="1" min="3" max="3" width="9.33"/>
    <col customWidth="1" min="4" max="4" width="18.89"/>
    <col customWidth="1" min="5" max="5" width="9.33"/>
    <col customWidth="1" min="6" max="6" width="14.11"/>
    <col customWidth="1" min="7" max="7" width="10.33"/>
    <col customWidth="1" min="8" max="8" width="10.0"/>
    <col customWidth="1" min="9" max="9" width="11.11"/>
    <col customWidth="1" min="10" max="10" width="13.0"/>
    <col customWidth="1" min="11" max="11" width="21.22"/>
    <col customWidth="1" min="12" max="12" width="9.0"/>
    <col customWidth="1" min="13" max="13" width="19.78"/>
    <col customWidth="1" min="14" max="14" width="8.33"/>
    <col customWidth="1" min="15" max="15" width="1.67"/>
    <col customWidth="1" min="16" max="26" width="8.67"/>
  </cols>
  <sheetData>
    <row r="1" ht="25.5" customHeight="1">
      <c r="A1" s="4" t="s">
        <v>109</v>
      </c>
      <c r="B1" s="5"/>
      <c r="C1" s="5"/>
      <c r="D1" s="5"/>
      <c r="E1" s="6"/>
      <c r="F1" s="7" t="s">
        <v>110</v>
      </c>
      <c r="G1" s="5"/>
      <c r="H1" s="5"/>
      <c r="I1" s="5"/>
      <c r="J1" s="5"/>
      <c r="K1" s="5"/>
      <c r="L1" s="5"/>
      <c r="M1" s="5"/>
      <c r="N1" s="5"/>
      <c r="O1" s="6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0" customHeight="1">
      <c r="A2" s="9"/>
      <c r="E2" s="10"/>
      <c r="F2" s="11" t="s">
        <v>8</v>
      </c>
      <c r="G2" s="12" t="s">
        <v>111</v>
      </c>
      <c r="H2" s="12" t="s">
        <v>112</v>
      </c>
      <c r="I2" s="12" t="s">
        <v>14</v>
      </c>
      <c r="J2" s="12" t="s">
        <v>8</v>
      </c>
      <c r="K2" s="12" t="s">
        <v>111</v>
      </c>
      <c r="L2" s="12" t="s">
        <v>112</v>
      </c>
      <c r="M2" s="12" t="s">
        <v>14</v>
      </c>
      <c r="N2" s="12"/>
      <c r="O2" s="12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9"/>
      <c r="E3" s="10"/>
      <c r="F3" s="13" t="s">
        <v>113</v>
      </c>
      <c r="G3" s="14">
        <v>44971.0</v>
      </c>
      <c r="H3" s="15" t="s">
        <v>114</v>
      </c>
      <c r="I3" s="15" t="s">
        <v>115</v>
      </c>
      <c r="J3" s="16"/>
      <c r="K3" s="16"/>
      <c r="L3" s="16"/>
      <c r="M3" s="16"/>
      <c r="N3" s="16"/>
      <c r="O3" s="16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9"/>
      <c r="E4" s="10"/>
      <c r="F4" s="13" t="s">
        <v>116</v>
      </c>
      <c r="G4" s="17">
        <v>45364.0</v>
      </c>
      <c r="H4" s="15" t="s">
        <v>117</v>
      </c>
      <c r="I4" s="15" t="s">
        <v>118</v>
      </c>
      <c r="J4" s="15" t="s">
        <v>119</v>
      </c>
      <c r="K4" s="16"/>
      <c r="L4" s="16"/>
      <c r="M4" s="16"/>
      <c r="N4" s="16"/>
      <c r="O4" s="16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8" t="s">
        <v>4</v>
      </c>
      <c r="B5" s="5"/>
      <c r="C5" s="5"/>
      <c r="D5" s="5"/>
      <c r="E5" s="6"/>
      <c r="F5" s="19"/>
      <c r="G5" s="16"/>
      <c r="H5" s="16"/>
      <c r="I5" s="16"/>
      <c r="J5" s="16"/>
      <c r="K5" s="16"/>
      <c r="L5" s="16"/>
      <c r="M5" s="16"/>
      <c r="N5" s="16"/>
      <c r="O5" s="16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0" t="s">
        <v>6</v>
      </c>
      <c r="B6" s="21"/>
      <c r="C6" s="21"/>
      <c r="D6" s="21"/>
      <c r="E6" s="22"/>
      <c r="F6" s="19"/>
      <c r="G6" s="16"/>
      <c r="H6" s="16"/>
      <c r="I6" s="16"/>
      <c r="J6" s="16"/>
      <c r="K6" s="16"/>
      <c r="L6" s="16"/>
      <c r="M6" s="16"/>
      <c r="N6" s="16"/>
      <c r="O6" s="16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3" t="s">
        <v>120</v>
      </c>
      <c r="B7" s="24"/>
      <c r="C7" s="24"/>
      <c r="D7" s="25"/>
      <c r="E7" s="23" t="s">
        <v>121</v>
      </c>
      <c r="F7" s="24"/>
      <c r="G7" s="24"/>
      <c r="H7" s="25"/>
      <c r="I7" s="26" t="s">
        <v>122</v>
      </c>
      <c r="J7" s="27"/>
      <c r="K7" s="27"/>
      <c r="L7" s="27"/>
      <c r="M7" s="27"/>
      <c r="N7" s="27"/>
      <c r="O7" s="2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9"/>
      <c r="B8" s="30"/>
      <c r="C8" s="30"/>
      <c r="D8" s="31"/>
      <c r="E8" s="32"/>
      <c r="F8" s="32"/>
      <c r="G8" s="32"/>
      <c r="H8" s="32"/>
      <c r="I8" s="33"/>
      <c r="J8" s="34"/>
      <c r="K8" s="34"/>
      <c r="L8" s="34"/>
      <c r="M8" s="34"/>
      <c r="N8" s="34"/>
      <c r="O8" s="35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6"/>
      <c r="B9" s="32"/>
      <c r="C9" s="37" t="s">
        <v>123</v>
      </c>
      <c r="D9" s="38"/>
      <c r="E9" s="39"/>
      <c r="F9" s="39"/>
      <c r="G9" s="37" t="s">
        <v>124</v>
      </c>
      <c r="H9" s="32"/>
      <c r="I9" s="40" t="s">
        <v>125</v>
      </c>
      <c r="J9" s="41" t="s">
        <v>61</v>
      </c>
      <c r="K9" s="41" t="s">
        <v>63</v>
      </c>
      <c r="L9" s="8" t="s">
        <v>65</v>
      </c>
      <c r="M9" s="41" t="s">
        <v>67</v>
      </c>
      <c r="N9" s="41" t="s">
        <v>69</v>
      </c>
      <c r="O9" s="42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6"/>
      <c r="B10" s="32" t="s">
        <v>126</v>
      </c>
      <c r="C10" s="43">
        <v>180.0</v>
      </c>
      <c r="D10" s="44" t="s">
        <v>127</v>
      </c>
      <c r="E10" s="45" t="s">
        <v>42</v>
      </c>
      <c r="F10" s="39"/>
      <c r="G10" s="43">
        <f>87.6 + 0.7</f>
        <v>88.3</v>
      </c>
      <c r="H10" s="46" t="s">
        <v>128</v>
      </c>
      <c r="I10" s="40">
        <v>0.0</v>
      </c>
      <c r="J10" s="47"/>
      <c r="K10" s="47"/>
      <c r="L10" s="8"/>
      <c r="M10" s="48"/>
      <c r="N10" s="48"/>
      <c r="O10" s="4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6"/>
      <c r="B11" s="32" t="s">
        <v>129</v>
      </c>
      <c r="C11" s="43">
        <v>20.7</v>
      </c>
      <c r="D11" s="44" t="s">
        <v>130</v>
      </c>
      <c r="E11" s="45" t="s">
        <v>44</v>
      </c>
      <c r="F11" s="39"/>
      <c r="G11" s="49">
        <f>0.4*G10</f>
        <v>35.32</v>
      </c>
      <c r="H11" s="32" t="s">
        <v>131</v>
      </c>
      <c r="I11" s="40">
        <v>1.0</v>
      </c>
      <c r="J11" s="50">
        <v>0.33</v>
      </c>
      <c r="K11" s="51"/>
      <c r="L11" s="52"/>
      <c r="M11" s="51"/>
      <c r="N11" s="51"/>
      <c r="O11" s="4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6"/>
      <c r="B12" s="32" t="s">
        <v>132</v>
      </c>
      <c r="C12" s="43">
        <v>55.5</v>
      </c>
      <c r="D12" s="44" t="s">
        <v>133</v>
      </c>
      <c r="E12" s="45" t="s">
        <v>46</v>
      </c>
      <c r="F12" s="39"/>
      <c r="G12" s="53">
        <f>0.3*(G10+G11+G13)</f>
        <v>46.3575</v>
      </c>
      <c r="H12" s="32" t="s">
        <v>134</v>
      </c>
      <c r="I12" s="40">
        <v>2.0</v>
      </c>
      <c r="J12" s="50">
        <v>0.33</v>
      </c>
      <c r="K12" s="51"/>
      <c r="L12" s="52"/>
      <c r="M12" s="51"/>
      <c r="N12" s="51"/>
      <c r="O12" s="42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6"/>
      <c r="B13" s="32" t="s">
        <v>135</v>
      </c>
      <c r="C13" s="54">
        <f>0.82</f>
        <v>0.82</v>
      </c>
      <c r="D13" s="44" t="s">
        <v>136</v>
      </c>
      <c r="E13" s="45" t="s">
        <v>48</v>
      </c>
      <c r="F13" s="39"/>
      <c r="G13" s="49">
        <f>0.25*(G10+G11)</f>
        <v>30.905</v>
      </c>
      <c r="H13" s="32" t="s">
        <v>137</v>
      </c>
      <c r="I13" s="40">
        <v>3.0</v>
      </c>
      <c r="J13" s="50">
        <v>0.33</v>
      </c>
      <c r="K13" s="55">
        <v>1.0</v>
      </c>
      <c r="L13" s="50">
        <v>1.0</v>
      </c>
      <c r="M13" s="51"/>
      <c r="N13" s="51"/>
      <c r="O13" s="4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6"/>
      <c r="B14" s="32" t="s">
        <v>138</v>
      </c>
      <c r="C14" s="53">
        <v>0.0</v>
      </c>
      <c r="D14" s="44"/>
      <c r="E14" s="45" t="s">
        <v>50</v>
      </c>
      <c r="F14" s="39"/>
      <c r="G14" s="56">
        <f>SUM(G10:G13)</f>
        <v>200.8825</v>
      </c>
      <c r="H14" s="32"/>
      <c r="I14" s="40">
        <v>4.0</v>
      </c>
      <c r="J14" s="51"/>
      <c r="K14" s="52"/>
      <c r="L14" s="51"/>
      <c r="M14" s="51">
        <v>1.0</v>
      </c>
      <c r="N14" s="51">
        <v>1.0</v>
      </c>
      <c r="O14" s="42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6"/>
      <c r="B15" s="32" t="s">
        <v>139</v>
      </c>
      <c r="C15" s="43">
        <v>26.0</v>
      </c>
      <c r="D15" s="38"/>
      <c r="E15" s="45"/>
      <c r="F15" s="39"/>
      <c r="G15" s="49"/>
      <c r="H15" s="32"/>
      <c r="I15" s="40">
        <v>5.0</v>
      </c>
      <c r="J15" s="51"/>
      <c r="K15" s="52"/>
      <c r="L15" s="51"/>
      <c r="M15" s="51">
        <v>1.0</v>
      </c>
      <c r="N15" s="51">
        <v>1.0</v>
      </c>
      <c r="O15" s="42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6"/>
      <c r="B16" s="32" t="s">
        <v>29</v>
      </c>
      <c r="C16" s="56">
        <f>C12+C13+C14+C15-C11</f>
        <v>61.62</v>
      </c>
      <c r="D16" s="38"/>
      <c r="E16" s="45" t="s">
        <v>52</v>
      </c>
      <c r="F16" s="39"/>
      <c r="G16" s="53">
        <f>0.15*G14</f>
        <v>30.132375</v>
      </c>
      <c r="H16" s="46" t="s">
        <v>140</v>
      </c>
      <c r="I16" s="40" t="s">
        <v>141</v>
      </c>
      <c r="J16" s="51"/>
      <c r="K16" s="52"/>
      <c r="L16" s="51"/>
      <c r="M16" s="51">
        <v>1.0</v>
      </c>
      <c r="N16" s="51">
        <v>1.0</v>
      </c>
      <c r="O16" s="42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6"/>
      <c r="B17" s="32" t="s">
        <v>142</v>
      </c>
      <c r="C17" s="49">
        <v>0.0</v>
      </c>
      <c r="D17" s="38"/>
      <c r="E17" s="45" t="s">
        <v>54</v>
      </c>
      <c r="F17" s="39"/>
      <c r="G17" s="49">
        <f>0.1*G14</f>
        <v>20.08825</v>
      </c>
      <c r="H17" s="32" t="s">
        <v>143</v>
      </c>
      <c r="I17" s="57"/>
      <c r="J17" s="8"/>
      <c r="K17" s="8"/>
      <c r="L17" s="8"/>
      <c r="M17" s="8"/>
      <c r="N17" s="8"/>
      <c r="O17" s="42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6"/>
      <c r="B18" s="32" t="s">
        <v>33</v>
      </c>
      <c r="C18" s="49">
        <v>0.0</v>
      </c>
      <c r="D18" s="44"/>
      <c r="E18" s="45" t="s">
        <v>56</v>
      </c>
      <c r="F18" s="39"/>
      <c r="G18" s="53">
        <v>10.0</v>
      </c>
      <c r="H18" s="32"/>
      <c r="I18" s="58"/>
      <c r="J18" s="59"/>
      <c r="K18" s="59"/>
      <c r="L18" s="59"/>
      <c r="M18" s="59"/>
      <c r="N18" s="32"/>
      <c r="O18" s="42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6"/>
      <c r="B19" s="32" t="s">
        <v>35</v>
      </c>
      <c r="C19" s="53">
        <v>15.0</v>
      </c>
      <c r="D19" s="38"/>
      <c r="E19" s="45" t="s">
        <v>58</v>
      </c>
      <c r="F19" s="39"/>
      <c r="G19" s="56">
        <f>SUM(G16:G18)+G14</f>
        <v>261.103125</v>
      </c>
      <c r="H19" s="32"/>
      <c r="I19" s="9"/>
      <c r="N19" s="32"/>
      <c r="O19" s="42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6"/>
      <c r="B20" s="32" t="s">
        <v>37</v>
      </c>
      <c r="C20" s="49">
        <f>(C10+C11)*0.05</f>
        <v>10.035</v>
      </c>
      <c r="D20" s="44" t="s">
        <v>144</v>
      </c>
      <c r="E20" s="8"/>
      <c r="F20" s="8"/>
      <c r="G20" s="8"/>
      <c r="H20" s="8"/>
      <c r="I20" s="9"/>
      <c r="N20" s="32"/>
      <c r="O20" s="42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6"/>
      <c r="B21" s="32" t="s">
        <v>39</v>
      </c>
      <c r="C21" s="56">
        <f>SUM(C17:C20)</f>
        <v>25.035</v>
      </c>
      <c r="D21" s="38"/>
      <c r="E21" s="8"/>
      <c r="F21" s="8"/>
      <c r="G21" s="8"/>
      <c r="H21" s="8"/>
      <c r="I21" s="9"/>
      <c r="N21" s="32"/>
      <c r="O21" s="42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6"/>
      <c r="B22" s="32"/>
      <c r="C22" s="32"/>
      <c r="D22" s="60"/>
      <c r="E22" s="32"/>
      <c r="F22" s="32"/>
      <c r="G22" s="32"/>
      <c r="H22" s="32"/>
      <c r="I22" s="9"/>
      <c r="N22" s="32"/>
      <c r="O22" s="42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61" t="s">
        <v>145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>
      <c r="A24" s="62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62"/>
      <c r="B25" s="63" t="s">
        <v>72</v>
      </c>
      <c r="C25" s="39">
        <v>8400.0</v>
      </c>
      <c r="D25" s="39" t="s">
        <v>146</v>
      </c>
      <c r="E25" s="39"/>
      <c r="F25" s="39" t="s">
        <v>76</v>
      </c>
      <c r="G25" s="64">
        <v>0.15</v>
      </c>
      <c r="H25" s="39"/>
      <c r="I25" s="39"/>
      <c r="J25" s="39" t="s">
        <v>147</v>
      </c>
      <c r="K25" s="39"/>
      <c r="L25" s="39" t="s">
        <v>148</v>
      </c>
      <c r="M25" s="39"/>
      <c r="N25" s="39"/>
      <c r="O25" s="3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62"/>
      <c r="B26" s="63"/>
      <c r="C26" s="39">
        <f>C25/24</f>
        <v>350</v>
      </c>
      <c r="D26" s="39" t="s">
        <v>149</v>
      </c>
      <c r="E26" s="39"/>
      <c r="F26" s="39" t="s">
        <v>78</v>
      </c>
      <c r="G26" s="64">
        <v>0.27</v>
      </c>
      <c r="H26" s="39"/>
      <c r="I26" s="39"/>
      <c r="J26" s="39" t="s">
        <v>150</v>
      </c>
      <c r="K26" s="39"/>
      <c r="L26" s="39">
        <v>10.0</v>
      </c>
      <c r="M26" s="39" t="s">
        <v>151</v>
      </c>
      <c r="N26" s="39"/>
      <c r="O26" s="3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62"/>
      <c r="B27" s="63" t="s">
        <v>74</v>
      </c>
      <c r="C27" s="65">
        <v>15.0</v>
      </c>
      <c r="D27" s="39" t="s">
        <v>152</v>
      </c>
      <c r="E27" s="39"/>
      <c r="F27" s="39" t="s">
        <v>153</v>
      </c>
      <c r="G27" s="64">
        <v>0.05</v>
      </c>
      <c r="H27" s="39"/>
      <c r="I27" s="39"/>
      <c r="J27" s="39"/>
      <c r="K27" s="39"/>
      <c r="L27" s="39"/>
      <c r="M27" s="39"/>
      <c r="N27" s="39"/>
      <c r="O27" s="3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9.0" customHeight="1">
      <c r="A28" s="62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61" t="s">
        <v>154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66"/>
      <c r="B31" s="45"/>
      <c r="C31" s="69" t="s">
        <v>155</v>
      </c>
      <c r="D31" s="45"/>
      <c r="E31" s="45"/>
      <c r="F31" s="45"/>
      <c r="G31" s="45"/>
      <c r="H31" s="45"/>
      <c r="I31" s="45"/>
      <c r="J31" s="45"/>
      <c r="K31" s="45"/>
      <c r="L31" s="45"/>
      <c r="M31" s="67"/>
      <c r="N31" s="67"/>
      <c r="O31" s="6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57"/>
      <c r="B32" s="70" t="s">
        <v>86</v>
      </c>
      <c r="C32" s="70" t="s">
        <v>88</v>
      </c>
      <c r="D32" s="70" t="s">
        <v>90</v>
      </c>
      <c r="E32" s="70" t="s">
        <v>92</v>
      </c>
      <c r="F32" s="70" t="s">
        <v>94</v>
      </c>
      <c r="G32" s="70" t="s">
        <v>96</v>
      </c>
      <c r="H32" s="70" t="s">
        <v>98</v>
      </c>
      <c r="I32" s="70" t="s">
        <v>100</v>
      </c>
      <c r="J32" s="70" t="s">
        <v>102</v>
      </c>
      <c r="K32" s="70" t="s">
        <v>156</v>
      </c>
      <c r="L32" s="70" t="s">
        <v>104</v>
      </c>
      <c r="M32" s="39" t="s">
        <v>157</v>
      </c>
      <c r="N32" s="70" t="s">
        <v>106</v>
      </c>
      <c r="O32" s="71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57"/>
      <c r="B33" s="70">
        <v>0.0</v>
      </c>
      <c r="C33" s="72">
        <f>G18</f>
        <v>10</v>
      </c>
      <c r="D33" s="73">
        <f t="shared" ref="D33:D38" si="1">$C$10*N10</f>
        <v>0</v>
      </c>
      <c r="E33" s="73">
        <f t="shared" ref="E33:E38" si="2">$C$16*N10+$C$21*M10</f>
        <v>0</v>
      </c>
      <c r="F33" s="73">
        <f t="shared" ref="F33:F48" si="3">D33-E33</f>
        <v>0</v>
      </c>
      <c r="G33" s="73">
        <v>0.0</v>
      </c>
      <c r="H33" s="73">
        <f t="shared" ref="H33:H48" si="4">F33-G33</f>
        <v>0</v>
      </c>
      <c r="I33" s="73">
        <f t="shared" ref="I33:I48" si="5">H33*$G$26</f>
        <v>0</v>
      </c>
      <c r="J33" s="73">
        <f t="shared" ref="J33:J48" si="6">-C33+(D33-E33-G33)*(1-$G$26)+G33</f>
        <v>-10</v>
      </c>
      <c r="K33" s="73">
        <f>SUM(J33)</f>
        <v>-10</v>
      </c>
      <c r="L33" s="73">
        <f t="shared" ref="L33:L48" si="7">J33/(1+$G$25)^B33</f>
        <v>-10</v>
      </c>
      <c r="M33" s="73">
        <f>SUM(L33)</f>
        <v>-10</v>
      </c>
      <c r="N33" s="73">
        <f>L33</f>
        <v>-10</v>
      </c>
      <c r="O33" s="7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57"/>
      <c r="B34" s="70">
        <v>1.0</v>
      </c>
      <c r="C34" s="73">
        <f t="shared" ref="C34:C38" si="8">$G$14*J11+$G$16*K11+$G$17*L11</f>
        <v>66.291225</v>
      </c>
      <c r="D34" s="73">
        <f t="shared" si="1"/>
        <v>0</v>
      </c>
      <c r="E34" s="73">
        <f t="shared" si="2"/>
        <v>0</v>
      </c>
      <c r="F34" s="73">
        <f t="shared" si="3"/>
        <v>0</v>
      </c>
      <c r="G34" s="73">
        <v>0.0</v>
      </c>
      <c r="H34" s="73">
        <f t="shared" si="4"/>
        <v>0</v>
      </c>
      <c r="I34" s="73">
        <f t="shared" si="5"/>
        <v>0</v>
      </c>
      <c r="J34" s="73">
        <f t="shared" si="6"/>
        <v>-66.291225</v>
      </c>
      <c r="K34" s="73">
        <f>SUM(J33:J34)</f>
        <v>-76.291225</v>
      </c>
      <c r="L34" s="73">
        <f t="shared" si="7"/>
        <v>-57.64454348</v>
      </c>
      <c r="M34" s="73">
        <f>SUM(L33:L34)</f>
        <v>-67.64454348</v>
      </c>
      <c r="N34" s="73">
        <f t="shared" ref="N34:N48" si="9">L34+N33</f>
        <v>-67.64454348</v>
      </c>
      <c r="O34" s="7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57"/>
      <c r="B35" s="70">
        <v>2.0</v>
      </c>
      <c r="C35" s="73">
        <f t="shared" si="8"/>
        <v>66.291225</v>
      </c>
      <c r="D35" s="73">
        <f t="shared" si="1"/>
        <v>0</v>
      </c>
      <c r="E35" s="73">
        <f t="shared" si="2"/>
        <v>0</v>
      </c>
      <c r="F35" s="73">
        <f t="shared" si="3"/>
        <v>0</v>
      </c>
      <c r="G35" s="73">
        <v>0.0</v>
      </c>
      <c r="H35" s="73">
        <f t="shared" si="4"/>
        <v>0</v>
      </c>
      <c r="I35" s="73">
        <f t="shared" si="5"/>
        <v>0</v>
      </c>
      <c r="J35" s="73">
        <f t="shared" si="6"/>
        <v>-66.291225</v>
      </c>
      <c r="K35" s="73">
        <f>SUM(J33:J35)</f>
        <v>-142.58245</v>
      </c>
      <c r="L35" s="73">
        <f t="shared" si="7"/>
        <v>-50.12568998</v>
      </c>
      <c r="M35" s="73">
        <f>SUM(L33:L35)</f>
        <v>-117.7702335</v>
      </c>
      <c r="N35" s="73">
        <f t="shared" si="9"/>
        <v>-117.7702335</v>
      </c>
      <c r="O35" s="7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57"/>
      <c r="B36" s="70">
        <v>3.0</v>
      </c>
      <c r="C36" s="73">
        <f t="shared" si="8"/>
        <v>116.51185</v>
      </c>
      <c r="D36" s="73">
        <f t="shared" si="1"/>
        <v>0</v>
      </c>
      <c r="E36" s="73">
        <f t="shared" si="2"/>
        <v>0</v>
      </c>
      <c r="F36" s="73">
        <f t="shared" si="3"/>
        <v>0</v>
      </c>
      <c r="G36" s="73">
        <f t="shared" ref="G36:G48" si="10">0.1*($G$14+$G$17-0.05*$G$14)</f>
        <v>21.0926625</v>
      </c>
      <c r="H36" s="73">
        <f t="shared" si="4"/>
        <v>-21.0926625</v>
      </c>
      <c r="I36" s="73">
        <f t="shared" si="5"/>
        <v>-5.695018875</v>
      </c>
      <c r="J36" s="73">
        <f t="shared" si="6"/>
        <v>-110.8168311</v>
      </c>
      <c r="K36" s="73">
        <f>SUM(J33:J36)</f>
        <v>-253.3992811</v>
      </c>
      <c r="L36" s="73">
        <f t="shared" si="7"/>
        <v>-72.86386529</v>
      </c>
      <c r="M36" s="73">
        <f>SUM(L33:L36)</f>
        <v>-190.6340988</v>
      </c>
      <c r="N36" s="73">
        <f t="shared" si="9"/>
        <v>-190.6340988</v>
      </c>
      <c r="O36" s="71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57"/>
      <c r="B37" s="70">
        <v>4.0</v>
      </c>
      <c r="C37" s="73">
        <f t="shared" si="8"/>
        <v>0</v>
      </c>
      <c r="D37" s="73">
        <f t="shared" si="1"/>
        <v>180</v>
      </c>
      <c r="E37" s="73">
        <f t="shared" si="2"/>
        <v>86.655</v>
      </c>
      <c r="F37" s="73">
        <f t="shared" si="3"/>
        <v>93.345</v>
      </c>
      <c r="G37" s="73">
        <f t="shared" si="10"/>
        <v>21.0926625</v>
      </c>
      <c r="H37" s="73">
        <f t="shared" si="4"/>
        <v>72.2523375</v>
      </c>
      <c r="I37" s="73">
        <f t="shared" si="5"/>
        <v>19.50813113</v>
      </c>
      <c r="J37" s="73">
        <f t="shared" si="6"/>
        <v>73.83686888</v>
      </c>
      <c r="K37" s="73">
        <f>SUM(J33:J37)</f>
        <v>-179.5624123</v>
      </c>
      <c r="L37" s="73">
        <f t="shared" si="7"/>
        <v>42.21646942</v>
      </c>
      <c r="M37" s="73">
        <f>SUM(L33:L37)</f>
        <v>-148.4176293</v>
      </c>
      <c r="N37" s="73">
        <f t="shared" si="9"/>
        <v>-148.4176293</v>
      </c>
      <c r="O37" s="7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57"/>
      <c r="B38" s="70">
        <v>5.0</v>
      </c>
      <c r="C38" s="73">
        <f t="shared" si="8"/>
        <v>0</v>
      </c>
      <c r="D38" s="73">
        <f t="shared" si="1"/>
        <v>180</v>
      </c>
      <c r="E38" s="73">
        <f t="shared" si="2"/>
        <v>86.655</v>
      </c>
      <c r="F38" s="73">
        <f t="shared" si="3"/>
        <v>93.345</v>
      </c>
      <c r="G38" s="73">
        <f t="shared" si="10"/>
        <v>21.0926625</v>
      </c>
      <c r="H38" s="73">
        <f t="shared" si="4"/>
        <v>72.2523375</v>
      </c>
      <c r="I38" s="73">
        <f t="shared" si="5"/>
        <v>19.50813113</v>
      </c>
      <c r="J38" s="73">
        <f t="shared" si="6"/>
        <v>73.83686888</v>
      </c>
      <c r="K38" s="73">
        <f>SUM(J33:J38)</f>
        <v>-105.7255434</v>
      </c>
      <c r="L38" s="73">
        <f t="shared" si="7"/>
        <v>36.70997341</v>
      </c>
      <c r="M38" s="73">
        <f>SUM(L33:L38)</f>
        <v>-111.7076559</v>
      </c>
      <c r="N38" s="73">
        <f t="shared" si="9"/>
        <v>-111.7076559</v>
      </c>
      <c r="O38" s="7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57"/>
      <c r="B39" s="70">
        <v>6.0</v>
      </c>
      <c r="C39" s="73">
        <f t="shared" ref="C39:C47" si="11">$G$14*$J$16+$G$16*$K$16+$G$17*$L$16</f>
        <v>0</v>
      </c>
      <c r="D39" s="73">
        <f t="shared" ref="D39:D48" si="12">$C$10*$N$16</f>
        <v>180</v>
      </c>
      <c r="E39" s="73">
        <f t="shared" ref="E39:E48" si="13">$C$16*$N$16+$C$21*$M$16</f>
        <v>86.655</v>
      </c>
      <c r="F39" s="73">
        <f t="shared" si="3"/>
        <v>93.345</v>
      </c>
      <c r="G39" s="73">
        <f t="shared" si="10"/>
        <v>21.0926625</v>
      </c>
      <c r="H39" s="73">
        <f t="shared" si="4"/>
        <v>72.2523375</v>
      </c>
      <c r="I39" s="73">
        <f t="shared" si="5"/>
        <v>19.50813113</v>
      </c>
      <c r="J39" s="73">
        <f t="shared" si="6"/>
        <v>73.83686888</v>
      </c>
      <c r="K39" s="73">
        <f>SUM(J33:J39)</f>
        <v>-31.8886745</v>
      </c>
      <c r="L39" s="73">
        <f t="shared" si="7"/>
        <v>31.92171601</v>
      </c>
      <c r="M39" s="73">
        <f>SUM(L33:L39)</f>
        <v>-79.7859399</v>
      </c>
      <c r="N39" s="73">
        <f t="shared" si="9"/>
        <v>-79.7859399</v>
      </c>
      <c r="O39" s="71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57"/>
      <c r="B40" s="70">
        <v>7.0</v>
      </c>
      <c r="C40" s="73">
        <f t="shared" si="11"/>
        <v>0</v>
      </c>
      <c r="D40" s="73">
        <f t="shared" si="12"/>
        <v>180</v>
      </c>
      <c r="E40" s="73">
        <f t="shared" si="13"/>
        <v>86.655</v>
      </c>
      <c r="F40" s="73">
        <f t="shared" si="3"/>
        <v>93.345</v>
      </c>
      <c r="G40" s="73">
        <f t="shared" si="10"/>
        <v>21.0926625</v>
      </c>
      <c r="H40" s="73">
        <f t="shared" si="4"/>
        <v>72.2523375</v>
      </c>
      <c r="I40" s="73">
        <f t="shared" si="5"/>
        <v>19.50813113</v>
      </c>
      <c r="J40" s="73">
        <f t="shared" si="6"/>
        <v>73.83686888</v>
      </c>
      <c r="K40" s="73">
        <f>SUM(J33:J40)</f>
        <v>41.94819437</v>
      </c>
      <c r="L40" s="73">
        <f t="shared" si="7"/>
        <v>27.75801392</v>
      </c>
      <c r="M40" s="73">
        <f>SUM(L33:L40)</f>
        <v>-52.02792598</v>
      </c>
      <c r="N40" s="73">
        <f t="shared" si="9"/>
        <v>-52.02792598</v>
      </c>
      <c r="O40" s="7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57"/>
      <c r="B41" s="70">
        <v>8.0</v>
      </c>
      <c r="C41" s="73">
        <f t="shared" si="11"/>
        <v>0</v>
      </c>
      <c r="D41" s="73">
        <f t="shared" si="12"/>
        <v>180</v>
      </c>
      <c r="E41" s="73">
        <f t="shared" si="13"/>
        <v>86.655</v>
      </c>
      <c r="F41" s="73">
        <f t="shared" si="3"/>
        <v>93.345</v>
      </c>
      <c r="G41" s="73">
        <f t="shared" si="10"/>
        <v>21.0926625</v>
      </c>
      <c r="H41" s="73">
        <f t="shared" si="4"/>
        <v>72.2523375</v>
      </c>
      <c r="I41" s="73">
        <f t="shared" si="5"/>
        <v>19.50813113</v>
      </c>
      <c r="J41" s="73">
        <f t="shared" si="6"/>
        <v>73.83686888</v>
      </c>
      <c r="K41" s="73">
        <f>SUM(J33:J41)</f>
        <v>115.7850633</v>
      </c>
      <c r="L41" s="73">
        <f t="shared" si="7"/>
        <v>24.13740341</v>
      </c>
      <c r="M41" s="73">
        <f>SUM(L33:L41)</f>
        <v>-27.89052257</v>
      </c>
      <c r="N41" s="73">
        <f t="shared" si="9"/>
        <v>-27.89052257</v>
      </c>
      <c r="O41" s="7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57"/>
      <c r="B42" s="70">
        <v>9.0</v>
      </c>
      <c r="C42" s="73">
        <f t="shared" si="11"/>
        <v>0</v>
      </c>
      <c r="D42" s="73">
        <f t="shared" si="12"/>
        <v>180</v>
      </c>
      <c r="E42" s="73">
        <f t="shared" si="13"/>
        <v>86.655</v>
      </c>
      <c r="F42" s="73">
        <f t="shared" si="3"/>
        <v>93.345</v>
      </c>
      <c r="G42" s="73">
        <f t="shared" si="10"/>
        <v>21.0926625</v>
      </c>
      <c r="H42" s="73">
        <f t="shared" si="4"/>
        <v>72.2523375</v>
      </c>
      <c r="I42" s="73">
        <f t="shared" si="5"/>
        <v>19.50813113</v>
      </c>
      <c r="J42" s="73">
        <f t="shared" si="6"/>
        <v>73.83686888</v>
      </c>
      <c r="K42" s="73">
        <f>SUM(J33:J42)</f>
        <v>189.6219321</v>
      </c>
      <c r="L42" s="73">
        <f t="shared" si="7"/>
        <v>20.98904644</v>
      </c>
      <c r="M42" s="73">
        <f>SUM(L33:L42)</f>
        <v>-6.901476128</v>
      </c>
      <c r="N42" s="73">
        <f t="shared" si="9"/>
        <v>-6.901476128</v>
      </c>
      <c r="O42" s="7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57"/>
      <c r="B43" s="70">
        <v>10.0</v>
      </c>
      <c r="C43" s="73">
        <f t="shared" si="11"/>
        <v>0</v>
      </c>
      <c r="D43" s="73">
        <f t="shared" si="12"/>
        <v>180</v>
      </c>
      <c r="E43" s="73">
        <f t="shared" si="13"/>
        <v>86.655</v>
      </c>
      <c r="F43" s="73">
        <f t="shared" si="3"/>
        <v>93.345</v>
      </c>
      <c r="G43" s="73">
        <f t="shared" si="10"/>
        <v>21.0926625</v>
      </c>
      <c r="H43" s="73">
        <f t="shared" si="4"/>
        <v>72.2523375</v>
      </c>
      <c r="I43" s="73">
        <f t="shared" si="5"/>
        <v>19.50813113</v>
      </c>
      <c r="J43" s="73">
        <f t="shared" si="6"/>
        <v>73.83686888</v>
      </c>
      <c r="K43" s="73">
        <f>SUM(J33:J43)</f>
        <v>263.458801</v>
      </c>
      <c r="L43" s="73">
        <f t="shared" si="7"/>
        <v>18.25134473</v>
      </c>
      <c r="M43" s="73">
        <f>SUM(L33:L43)</f>
        <v>11.34986861</v>
      </c>
      <c r="N43" s="73">
        <f t="shared" si="9"/>
        <v>11.34986861</v>
      </c>
      <c r="O43" s="7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57"/>
      <c r="B44" s="70">
        <v>11.0</v>
      </c>
      <c r="C44" s="73">
        <f t="shared" si="11"/>
        <v>0</v>
      </c>
      <c r="D44" s="73">
        <f t="shared" si="12"/>
        <v>180</v>
      </c>
      <c r="E44" s="73">
        <f t="shared" si="13"/>
        <v>86.655</v>
      </c>
      <c r="F44" s="73">
        <f t="shared" si="3"/>
        <v>93.345</v>
      </c>
      <c r="G44" s="73">
        <f t="shared" si="10"/>
        <v>21.0926625</v>
      </c>
      <c r="H44" s="73">
        <f t="shared" si="4"/>
        <v>72.2523375</v>
      </c>
      <c r="I44" s="73">
        <f t="shared" si="5"/>
        <v>19.50813113</v>
      </c>
      <c r="J44" s="73">
        <f t="shared" si="6"/>
        <v>73.83686888</v>
      </c>
      <c r="K44" s="73">
        <f>SUM(J33:J44)</f>
        <v>337.2956699</v>
      </c>
      <c r="L44" s="73">
        <f t="shared" si="7"/>
        <v>15.87073455</v>
      </c>
      <c r="M44" s="73">
        <f>SUM(L33:L44)</f>
        <v>27.22060316</v>
      </c>
      <c r="N44" s="73">
        <f t="shared" si="9"/>
        <v>27.22060316</v>
      </c>
      <c r="O44" s="71"/>
      <c r="P44" s="8"/>
      <c r="Q44" s="8"/>
      <c r="R44" s="52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57"/>
      <c r="B45" s="70">
        <v>12.0</v>
      </c>
      <c r="C45" s="73">
        <f t="shared" si="11"/>
        <v>0</v>
      </c>
      <c r="D45" s="73">
        <f t="shared" si="12"/>
        <v>180</v>
      </c>
      <c r="E45" s="73">
        <f t="shared" si="13"/>
        <v>86.655</v>
      </c>
      <c r="F45" s="73">
        <f t="shared" si="3"/>
        <v>93.345</v>
      </c>
      <c r="G45" s="73">
        <f t="shared" si="10"/>
        <v>21.0926625</v>
      </c>
      <c r="H45" s="73">
        <f t="shared" si="4"/>
        <v>72.2523375</v>
      </c>
      <c r="I45" s="73">
        <f t="shared" si="5"/>
        <v>19.50813113</v>
      </c>
      <c r="J45" s="73">
        <f t="shared" si="6"/>
        <v>73.83686888</v>
      </c>
      <c r="K45" s="73">
        <f t="shared" ref="K45:K48" si="14">SUM(J33:J45)</f>
        <v>411.1325388</v>
      </c>
      <c r="L45" s="73">
        <f t="shared" si="7"/>
        <v>13.80063874</v>
      </c>
      <c r="M45" s="73">
        <f t="shared" ref="M45:M48" si="15">SUM(L33:L45)</f>
        <v>41.0212419</v>
      </c>
      <c r="N45" s="73">
        <f t="shared" si="9"/>
        <v>41.0212419</v>
      </c>
      <c r="O45" s="7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57"/>
      <c r="B46" s="70">
        <v>13.0</v>
      </c>
      <c r="C46" s="73">
        <f t="shared" si="11"/>
        <v>0</v>
      </c>
      <c r="D46" s="73">
        <f t="shared" si="12"/>
        <v>180</v>
      </c>
      <c r="E46" s="73">
        <f t="shared" si="13"/>
        <v>86.655</v>
      </c>
      <c r="F46" s="73">
        <f t="shared" si="3"/>
        <v>93.345</v>
      </c>
      <c r="G46" s="73">
        <f t="shared" si="10"/>
        <v>21.0926625</v>
      </c>
      <c r="H46" s="73">
        <f t="shared" si="4"/>
        <v>72.2523375</v>
      </c>
      <c r="I46" s="73">
        <f t="shared" si="5"/>
        <v>19.50813113</v>
      </c>
      <c r="J46" s="73">
        <f t="shared" si="6"/>
        <v>73.83686888</v>
      </c>
      <c r="K46" s="73">
        <f t="shared" si="14"/>
        <v>494.9694076</v>
      </c>
      <c r="L46" s="73">
        <f t="shared" si="7"/>
        <v>12.00055543</v>
      </c>
      <c r="M46" s="73">
        <f t="shared" si="15"/>
        <v>63.02179732</v>
      </c>
      <c r="N46" s="73">
        <f t="shared" si="9"/>
        <v>53.02179732</v>
      </c>
      <c r="O46" s="7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57"/>
      <c r="B47" s="70">
        <v>14.0</v>
      </c>
      <c r="C47" s="73">
        <f t="shared" si="11"/>
        <v>0</v>
      </c>
      <c r="D47" s="73">
        <f t="shared" si="12"/>
        <v>180</v>
      </c>
      <c r="E47" s="73">
        <f t="shared" si="13"/>
        <v>86.655</v>
      </c>
      <c r="F47" s="73">
        <f t="shared" si="3"/>
        <v>93.345</v>
      </c>
      <c r="G47" s="73">
        <f t="shared" si="10"/>
        <v>21.0926625</v>
      </c>
      <c r="H47" s="73">
        <f t="shared" si="4"/>
        <v>72.2523375</v>
      </c>
      <c r="I47" s="73">
        <f t="shared" si="5"/>
        <v>19.50813113</v>
      </c>
      <c r="J47" s="73">
        <f t="shared" si="6"/>
        <v>73.83686888</v>
      </c>
      <c r="K47" s="73">
        <f t="shared" si="14"/>
        <v>635.0975015</v>
      </c>
      <c r="L47" s="73">
        <f t="shared" si="7"/>
        <v>10.43526559</v>
      </c>
      <c r="M47" s="73">
        <f t="shared" si="15"/>
        <v>131.1016064</v>
      </c>
      <c r="N47" s="73">
        <f t="shared" si="9"/>
        <v>63.45706291</v>
      </c>
      <c r="O47" s="7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57"/>
      <c r="B48" s="70">
        <v>15.0</v>
      </c>
      <c r="C48" s="73">
        <f>-0.05*G14</f>
        <v>-10.044125</v>
      </c>
      <c r="D48" s="73">
        <f t="shared" si="12"/>
        <v>180</v>
      </c>
      <c r="E48" s="73">
        <f t="shared" si="13"/>
        <v>86.655</v>
      </c>
      <c r="F48" s="73">
        <f t="shared" si="3"/>
        <v>93.345</v>
      </c>
      <c r="G48" s="73">
        <f t="shared" si="10"/>
        <v>21.0926625</v>
      </c>
      <c r="H48" s="73">
        <f t="shared" si="4"/>
        <v>72.2523375</v>
      </c>
      <c r="I48" s="73">
        <f t="shared" si="5"/>
        <v>19.50813113</v>
      </c>
      <c r="J48" s="73">
        <f t="shared" si="6"/>
        <v>83.88099388</v>
      </c>
      <c r="K48" s="73">
        <f t="shared" si="14"/>
        <v>785.2697204</v>
      </c>
      <c r="L48" s="73">
        <f t="shared" si="7"/>
        <v>10.30851156</v>
      </c>
      <c r="M48" s="73">
        <f t="shared" si="15"/>
        <v>191.5358079</v>
      </c>
      <c r="N48" s="73">
        <f t="shared" si="9"/>
        <v>73.76557447</v>
      </c>
      <c r="O48" s="7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57"/>
      <c r="B49" s="7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7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61" t="s">
        <v>158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7.5" customHeight="1">
      <c r="A51" s="5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71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62"/>
      <c r="B52" s="75" t="s">
        <v>106</v>
      </c>
      <c r="C52" s="75" t="s">
        <v>159</v>
      </c>
      <c r="D52" s="76">
        <f>SUM(L33:L48)</f>
        <v>73.76557447</v>
      </c>
      <c r="E52" s="77" t="s">
        <v>124</v>
      </c>
      <c r="F52" s="63"/>
      <c r="G52" s="78"/>
      <c r="H52" s="39"/>
      <c r="I52" s="75" t="s">
        <v>160</v>
      </c>
      <c r="J52" s="79">
        <f>IRR(J33:J48)</f>
        <v>0.2179256195</v>
      </c>
      <c r="K52" s="8"/>
      <c r="L52" s="39"/>
      <c r="M52" s="39"/>
      <c r="N52" s="39"/>
      <c r="O52" s="3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62"/>
      <c r="B53" s="75" t="s">
        <v>161</v>
      </c>
      <c r="C53" s="80">
        <v>15.0</v>
      </c>
      <c r="D53" s="76">
        <f>VLOOKUP(C53,B33:L48,11)</f>
        <v>10.30851156</v>
      </c>
      <c r="E53" s="77" t="s">
        <v>124</v>
      </c>
      <c r="F53" s="8"/>
      <c r="G53" s="8"/>
      <c r="H53" s="39"/>
      <c r="I53" s="8"/>
      <c r="J53" s="81"/>
      <c r="K53" s="39"/>
      <c r="L53" s="39"/>
      <c r="M53" s="39"/>
      <c r="N53" s="39"/>
      <c r="O53" s="3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9.75" customHeight="1">
      <c r="A54" s="5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71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61" t="s">
        <v>162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9.0" customHeight="1">
      <c r="A56" s="5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71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2">
        <v>1.0</v>
      </c>
      <c r="B57" s="8" t="s">
        <v>163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71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2">
        <v>2.0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71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2">
        <v>3.0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71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3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4">
    <mergeCell ref="I7:O7"/>
    <mergeCell ref="O8:O22"/>
    <mergeCell ref="I18:M22"/>
    <mergeCell ref="A23:O23"/>
    <mergeCell ref="A29:O29"/>
    <mergeCell ref="A50:O50"/>
    <mergeCell ref="A55:O55"/>
    <mergeCell ref="A1:E4"/>
    <mergeCell ref="F1:O1"/>
    <mergeCell ref="A5:E5"/>
    <mergeCell ref="A6:E6"/>
    <mergeCell ref="A7:D7"/>
    <mergeCell ref="E7:H7"/>
    <mergeCell ref="A8:D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2023-02-09T21:01:31Z</dcterms:created>
  <dc:creator>Joe Chada</dc:creator>
</cp:coreProperties>
</file>