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G:\My Drive\Backups\Imperial\Year 3\Year 3 - Modules\AERO60004 - Group Design Project\AeroTesting\Lap_Time_Sim_OOP-master\"/>
    </mc:Choice>
  </mc:AlternateContent>
  <xr:revisionPtr revIDLastSave="0" documentId="8_{4BA7A1E5-A578-4D52-AB6F-7383C9597EA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29" i="1"/>
  <c r="J32" i="1"/>
  <c r="T32" i="1" s="1"/>
  <c r="S32" i="1" s="1"/>
  <c r="L7" i="1"/>
  <c r="K6" i="1"/>
  <c r="J6" i="1"/>
  <c r="T6" i="1" s="1"/>
  <c r="S6" i="1" s="1"/>
  <c r="J4" i="1"/>
  <c r="T4" i="1" s="1"/>
  <c r="S4" i="1" s="1"/>
  <c r="J5" i="1"/>
  <c r="T5" i="1" s="1"/>
  <c r="S5" i="1" s="1"/>
  <c r="J7" i="1"/>
  <c r="T7" i="1" s="1"/>
  <c r="S7" i="1" s="1"/>
  <c r="J8" i="1"/>
  <c r="T8" i="1" s="1"/>
  <c r="S8" i="1" s="1"/>
  <c r="J9" i="1"/>
  <c r="T9" i="1" s="1"/>
  <c r="S9" i="1" s="1"/>
  <c r="J10" i="1"/>
  <c r="T10" i="1" s="1"/>
  <c r="S10" i="1" s="1"/>
  <c r="J11" i="1"/>
  <c r="T11" i="1" s="1"/>
  <c r="S11" i="1" s="1"/>
  <c r="J12" i="1"/>
  <c r="T12" i="1" s="1"/>
  <c r="S12" i="1" s="1"/>
  <c r="J13" i="1"/>
  <c r="T13" i="1" s="1"/>
  <c r="S13" i="1" s="1"/>
  <c r="J14" i="1"/>
  <c r="T14" i="1" s="1"/>
  <c r="S14" i="1" s="1"/>
  <c r="J15" i="1"/>
  <c r="T15" i="1" s="1"/>
  <c r="S15" i="1" s="1"/>
  <c r="J16" i="1"/>
  <c r="T16" i="1" s="1"/>
  <c r="S16" i="1" s="1"/>
  <c r="J17" i="1"/>
  <c r="T17" i="1" s="1"/>
  <c r="S17" i="1" s="1"/>
  <c r="J18" i="1"/>
  <c r="T18" i="1" s="1"/>
  <c r="S18" i="1" s="1"/>
  <c r="J19" i="1"/>
  <c r="T19" i="1" s="1"/>
  <c r="S19" i="1" s="1"/>
  <c r="J20" i="1"/>
  <c r="T20" i="1" s="1"/>
  <c r="S20" i="1" s="1"/>
  <c r="J21" i="1"/>
  <c r="T21" i="1" s="1"/>
  <c r="S21" i="1" s="1"/>
  <c r="J22" i="1"/>
  <c r="T22" i="1" s="1"/>
  <c r="S22" i="1" s="1"/>
  <c r="J23" i="1"/>
  <c r="T23" i="1" s="1"/>
  <c r="S23" i="1" s="1"/>
  <c r="J24" i="1"/>
  <c r="J25" i="1"/>
  <c r="T25" i="1" s="1"/>
  <c r="S25" i="1" s="1"/>
  <c r="J26" i="1"/>
  <c r="J27" i="1"/>
  <c r="J28" i="1"/>
  <c r="T28" i="1" s="1"/>
  <c r="S28" i="1" s="1"/>
  <c r="T29" i="1"/>
  <c r="S29" i="1" s="1"/>
  <c r="J30" i="1"/>
  <c r="T30" i="1" s="1"/>
  <c r="S30" i="1" s="1"/>
  <c r="J31" i="1"/>
  <c r="T31" i="1" s="1"/>
  <c r="S31" i="1" s="1"/>
  <c r="J33" i="1"/>
  <c r="T33" i="1" s="1"/>
  <c r="S33" i="1" s="1"/>
  <c r="J34" i="1"/>
  <c r="T34" i="1" s="1"/>
  <c r="S34" i="1" s="1"/>
  <c r="J35" i="1"/>
  <c r="T35" i="1" s="1"/>
  <c r="S35" i="1" s="1"/>
  <c r="J36" i="1"/>
  <c r="T36" i="1" s="1"/>
  <c r="S36" i="1" s="1"/>
  <c r="J37" i="1"/>
  <c r="T37" i="1" s="1"/>
  <c r="S37" i="1" s="1"/>
  <c r="J38" i="1"/>
  <c r="T38" i="1" s="1"/>
  <c r="S38" i="1" s="1"/>
  <c r="J3" i="1"/>
  <c r="T3" i="1" s="1"/>
  <c r="S3" i="1" s="1"/>
  <c r="I4" i="1"/>
  <c r="P4" i="1" s="1"/>
  <c r="Q4" i="1" s="1"/>
  <c r="R4" i="1" s="1"/>
  <c r="I5" i="1"/>
  <c r="P5" i="1" s="1"/>
  <c r="Q5" i="1" s="1"/>
  <c r="R5" i="1" s="1"/>
  <c r="I6" i="1"/>
  <c r="P6" i="1" s="1"/>
  <c r="Q6" i="1" s="1"/>
  <c r="R6" i="1" s="1"/>
  <c r="I7" i="1"/>
  <c r="P7" i="1" s="1"/>
  <c r="Q7" i="1" s="1"/>
  <c r="R7" i="1" s="1"/>
  <c r="I8" i="1"/>
  <c r="I9" i="1"/>
  <c r="P9" i="1" s="1"/>
  <c r="Q9" i="1" s="1"/>
  <c r="I10" i="1"/>
  <c r="P10" i="1" s="1"/>
  <c r="Q10" i="1" s="1"/>
  <c r="I11" i="1"/>
  <c r="P11" i="1" s="1"/>
  <c r="Q11" i="1" s="1"/>
  <c r="I12" i="1"/>
  <c r="P12" i="1" s="1"/>
  <c r="Q12" i="1" s="1"/>
  <c r="I13" i="1"/>
  <c r="P13" i="1" s="1"/>
  <c r="Q13" i="1" s="1"/>
  <c r="I14" i="1"/>
  <c r="P14" i="1" s="1"/>
  <c r="Q14" i="1" s="1"/>
  <c r="I15" i="1"/>
  <c r="P15" i="1" s="1"/>
  <c r="Q15" i="1" s="1"/>
  <c r="I16" i="1"/>
  <c r="P16" i="1" s="1"/>
  <c r="Q16" i="1" s="1"/>
  <c r="I17" i="1"/>
  <c r="P17" i="1" s="1"/>
  <c r="Q17" i="1" s="1"/>
  <c r="I18" i="1"/>
  <c r="P18" i="1" s="1"/>
  <c r="Q18" i="1" s="1"/>
  <c r="I19" i="1"/>
  <c r="P19" i="1" s="1"/>
  <c r="Q19" i="1" s="1"/>
  <c r="I20" i="1"/>
  <c r="P20" i="1" s="1"/>
  <c r="Q20" i="1" s="1"/>
  <c r="I21" i="1"/>
  <c r="P21" i="1" s="1"/>
  <c r="Q21" i="1" s="1"/>
  <c r="I22" i="1"/>
  <c r="P22" i="1" s="1"/>
  <c r="Q22" i="1" s="1"/>
  <c r="I23" i="1"/>
  <c r="P23" i="1" s="1"/>
  <c r="Q23" i="1" s="1"/>
  <c r="I24" i="1"/>
  <c r="P24" i="1" s="1"/>
  <c r="Q24" i="1" s="1"/>
  <c r="R24" i="1" s="1"/>
  <c r="I25" i="1"/>
  <c r="P25" i="1" s="1"/>
  <c r="Q25" i="1" s="1"/>
  <c r="R25" i="1" s="1"/>
  <c r="I26" i="1"/>
  <c r="P26" i="1" s="1"/>
  <c r="Q26" i="1" s="1"/>
  <c r="R26" i="1" s="1"/>
  <c r="I27" i="1"/>
  <c r="P27" i="1" s="1"/>
  <c r="Q27" i="1" s="1"/>
  <c r="R27" i="1" s="1"/>
  <c r="I28" i="1"/>
  <c r="P28" i="1" s="1"/>
  <c r="Q28" i="1" s="1"/>
  <c r="R28" i="1" s="1"/>
  <c r="I29" i="1"/>
  <c r="P29" i="1" s="1"/>
  <c r="Q29" i="1" s="1"/>
  <c r="R29" i="1" s="1"/>
  <c r="I30" i="1"/>
  <c r="P30" i="1" s="1"/>
  <c r="Q30" i="1" s="1"/>
  <c r="I31" i="1"/>
  <c r="P31" i="1" s="1"/>
  <c r="Q31" i="1" s="1"/>
  <c r="I32" i="1"/>
  <c r="P32" i="1" s="1"/>
  <c r="Q32" i="1" s="1"/>
  <c r="I33" i="1"/>
  <c r="P33" i="1" s="1"/>
  <c r="Q33" i="1" s="1"/>
  <c r="I34" i="1"/>
  <c r="P34" i="1" s="1"/>
  <c r="Q34" i="1" s="1"/>
  <c r="I35" i="1"/>
  <c r="P35" i="1" s="1"/>
  <c r="Q35" i="1" s="1"/>
  <c r="I36" i="1"/>
  <c r="P36" i="1" s="1"/>
  <c r="Q36" i="1" s="1"/>
  <c r="I37" i="1"/>
  <c r="P37" i="1" s="1"/>
  <c r="Q37" i="1" s="1"/>
  <c r="I38" i="1"/>
  <c r="P38" i="1" s="1"/>
  <c r="Q38" i="1" s="1"/>
  <c r="P3" i="1"/>
  <c r="Q3" i="1" s="1"/>
  <c r="K29" i="1"/>
  <c r="K3" i="1"/>
  <c r="O3" i="1" s="1"/>
  <c r="P8" i="1"/>
  <c r="Q8" i="1" s="1"/>
  <c r="R8" i="1" s="1"/>
  <c r="T24" i="1"/>
  <c r="S24" i="1" s="1"/>
  <c r="T26" i="1"/>
  <c r="S26" i="1" s="1"/>
  <c r="T27" i="1"/>
  <c r="S27" i="1" s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 s="1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I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M3" i="1" l="1"/>
  <c r="N3" i="1" s="1"/>
  <c r="R9" i="1"/>
  <c r="R22" i="1"/>
  <c r="R19" i="1"/>
  <c r="R37" i="1"/>
  <c r="R17" i="1"/>
  <c r="R35" i="1"/>
  <c r="R15" i="1"/>
  <c r="R13" i="1"/>
  <c r="U13" i="1" s="1"/>
  <c r="R21" i="1"/>
  <c r="R36" i="1"/>
  <c r="R16" i="1"/>
  <c r="R33" i="1"/>
  <c r="R32" i="1"/>
  <c r="R12" i="1"/>
  <c r="R30" i="1"/>
  <c r="R10" i="1"/>
  <c r="R23" i="1"/>
  <c r="R20" i="1"/>
  <c r="R38" i="1"/>
  <c r="R18" i="1"/>
  <c r="R34" i="1"/>
  <c r="R14" i="1"/>
  <c r="R31" i="1"/>
  <c r="R11" i="1"/>
  <c r="U11" i="1" s="1"/>
  <c r="R3" i="1"/>
  <c r="U3" i="1" s="1"/>
  <c r="O38" i="1"/>
  <c r="M38" i="1"/>
  <c r="N38" i="1" s="1"/>
  <c r="O37" i="1"/>
  <c r="M37" i="1"/>
  <c r="N37" i="1" s="1"/>
  <c r="O36" i="1"/>
  <c r="M36" i="1"/>
  <c r="N36" i="1" s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M29" i="1"/>
  <c r="N29" i="1" s="1"/>
  <c r="U29" i="1" s="1"/>
  <c r="O28" i="1"/>
  <c r="M28" i="1"/>
  <c r="N28" i="1" s="1"/>
  <c r="U28" i="1" s="1"/>
  <c r="O27" i="1"/>
  <c r="M27" i="1"/>
  <c r="N27" i="1" s="1"/>
  <c r="U27" i="1" s="1"/>
  <c r="O26" i="1"/>
  <c r="M26" i="1"/>
  <c r="N26" i="1" s="1"/>
  <c r="U26" i="1" s="1"/>
  <c r="O25" i="1"/>
  <c r="M25" i="1"/>
  <c r="N25" i="1" s="1"/>
  <c r="U25" i="1" s="1"/>
  <c r="O24" i="1"/>
  <c r="M24" i="1"/>
  <c r="N24" i="1" s="1"/>
  <c r="U24" i="1" s="1"/>
  <c r="O23" i="1"/>
  <c r="M23" i="1"/>
  <c r="N23" i="1" s="1"/>
  <c r="O22" i="1"/>
  <c r="M22" i="1"/>
  <c r="N22" i="1" s="1"/>
  <c r="O21" i="1"/>
  <c r="M21" i="1"/>
  <c r="N21" i="1" s="1"/>
  <c r="O20" i="1"/>
  <c r="M20" i="1"/>
  <c r="N20" i="1" s="1"/>
  <c r="O19" i="1"/>
  <c r="M19" i="1"/>
  <c r="N19" i="1" s="1"/>
  <c r="O18" i="1"/>
  <c r="M18" i="1"/>
  <c r="N18" i="1" s="1"/>
  <c r="O17" i="1"/>
  <c r="M17" i="1"/>
  <c r="N17" i="1" s="1"/>
  <c r="O16" i="1"/>
  <c r="M16" i="1"/>
  <c r="N16" i="1" s="1"/>
  <c r="O15" i="1"/>
  <c r="M15" i="1"/>
  <c r="N15" i="1" s="1"/>
  <c r="O14" i="1"/>
  <c r="M14" i="1"/>
  <c r="N14" i="1" s="1"/>
  <c r="O13" i="1"/>
  <c r="M13" i="1"/>
  <c r="N13" i="1" s="1"/>
  <c r="O12" i="1"/>
  <c r="M12" i="1"/>
  <c r="N12" i="1" s="1"/>
  <c r="O11" i="1"/>
  <c r="M11" i="1"/>
  <c r="N11" i="1" s="1"/>
  <c r="O10" i="1"/>
  <c r="M10" i="1"/>
  <c r="N10" i="1" s="1"/>
  <c r="O9" i="1"/>
  <c r="M9" i="1"/>
  <c r="N9" i="1" s="1"/>
  <c r="O8" i="1"/>
  <c r="M8" i="1"/>
  <c r="N8" i="1" s="1"/>
  <c r="U8" i="1" s="1"/>
  <c r="O7" i="1"/>
  <c r="M7" i="1"/>
  <c r="N7" i="1" s="1"/>
  <c r="U7" i="1" s="1"/>
  <c r="O6" i="1"/>
  <c r="M6" i="1"/>
  <c r="N6" i="1" s="1"/>
  <c r="U6" i="1" s="1"/>
  <c r="O5" i="1"/>
  <c r="M5" i="1"/>
  <c r="N5" i="1" s="1"/>
  <c r="U5" i="1" s="1"/>
  <c r="O4" i="1"/>
  <c r="M4" i="1"/>
  <c r="N4" i="1" s="1"/>
  <c r="U4" i="1" s="1"/>
  <c r="U17" i="1" l="1"/>
  <c r="U37" i="1"/>
  <c r="U14" i="1"/>
  <c r="U22" i="1"/>
  <c r="U34" i="1"/>
  <c r="U15" i="1"/>
  <c r="U35" i="1"/>
  <c r="U38" i="1"/>
  <c r="U20" i="1"/>
  <c r="U23" i="1"/>
  <c r="U10" i="1"/>
  <c r="U9" i="1"/>
  <c r="U30" i="1"/>
  <c r="U19" i="1"/>
  <c r="U12" i="1"/>
  <c r="U32" i="1"/>
  <c r="U31" i="1"/>
  <c r="U33" i="1"/>
  <c r="U16" i="1"/>
  <c r="U36" i="1"/>
  <c r="U18" i="1"/>
  <c r="U21" i="1"/>
</calcChain>
</file>

<file path=xl/sharedStrings.xml><?xml version="1.0" encoding="utf-8"?>
<sst xmlns="http://schemas.openxmlformats.org/spreadsheetml/2006/main" count="220" uniqueCount="43">
  <si>
    <t>No aero</t>
  </si>
  <si>
    <t>FW</t>
  </si>
  <si>
    <t>RW</t>
  </si>
  <si>
    <t>Floor</t>
  </si>
  <si>
    <t>Sidepods</t>
  </si>
  <si>
    <t>Predicted Downforce</t>
  </si>
  <si>
    <t>Predicted Drag</t>
  </si>
  <si>
    <t>Predicted Added Weight</t>
  </si>
  <si>
    <t>Predicted Cost</t>
  </si>
  <si>
    <t>xCg</t>
  </si>
  <si>
    <t>x CoG (% between wheels)</t>
  </si>
  <si>
    <t>zCg</t>
  </si>
  <si>
    <t>xCp</t>
  </si>
  <si>
    <t>xCp % between wheel</t>
  </si>
  <si>
    <t>zCp</t>
  </si>
  <si>
    <t>S=simple</t>
  </si>
  <si>
    <t>YES</t>
  </si>
  <si>
    <t>NO</t>
  </si>
  <si>
    <t>C=complex</t>
  </si>
  <si>
    <t>YES - S</t>
  </si>
  <si>
    <t>YES - C</t>
  </si>
  <si>
    <t>No Aero weight</t>
  </si>
  <si>
    <t>No Aero xMoment</t>
  </si>
  <si>
    <t>Front Nose to Front Axel</t>
  </si>
  <si>
    <t>WheelBase</t>
  </si>
  <si>
    <t>No Aero zMoment</t>
  </si>
  <si>
    <t>Weight</t>
  </si>
  <si>
    <t>Downforce</t>
  </si>
  <si>
    <t xml:space="preserve">CL </t>
  </si>
  <si>
    <t>CLA</t>
  </si>
  <si>
    <t>CD</t>
  </si>
  <si>
    <t>Drag</t>
  </si>
  <si>
    <t>SCl</t>
  </si>
  <si>
    <t>SCd</t>
  </si>
  <si>
    <t>Component</t>
  </si>
  <si>
    <t>Simple Front Wing</t>
  </si>
  <si>
    <t>Complex Front Wing</t>
  </si>
  <si>
    <t>Simple Rear Wing</t>
  </si>
  <si>
    <t>Complex Rear Wing</t>
  </si>
  <si>
    <t>Side</t>
  </si>
  <si>
    <t>COP-COG Split</t>
  </si>
  <si>
    <t>Column1</t>
  </si>
  <si>
    <t>Best from Lap Sim- 26, 35, 10, 25,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</si>
</sst>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B5E6A2"/>
          <bgColor rgb="FF000000"/>
        </patternFill>
      </fill>
    </dxf>
    <dxf>
      <numFmt numFmtId="164" formatCode="0.00000"/>
    </dxf>
    <dxf>
      <numFmt numFmtId="166" formatCode="0.000"/>
    </dxf>
    <dxf>
      <numFmt numFmtId="164" formatCode="0.000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  <dxf>
      <numFmt numFmtId="165" formatCode="0.0000"/>
    </dxf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014916885389325"/>
                  <c:y val="-1.7130723242927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  <c:pt idx="11">
                  <c:v>18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10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18</c:v>
                </c:pt>
                <c:pt idx="23">
                  <c:v>22</c:v>
                </c:pt>
                <c:pt idx="24">
                  <c:v>16</c:v>
                </c:pt>
                <c:pt idx="25">
                  <c:v>18</c:v>
                </c:pt>
                <c:pt idx="26">
                  <c:v>22</c:v>
                </c:pt>
                <c:pt idx="27">
                  <c:v>21</c:v>
                </c:pt>
                <c:pt idx="28">
                  <c:v>25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22</c:v>
                </c:pt>
                <c:pt idx="33">
                  <c:v>26</c:v>
                </c:pt>
                <c:pt idx="34">
                  <c:v>25</c:v>
                </c:pt>
                <c:pt idx="35">
                  <c:v>29</c:v>
                </c:pt>
              </c:numCache>
            </c:numRef>
          </c:xVal>
          <c:yVal>
            <c:numRef>
              <c:f>Sheet2!$F$2:$F$37</c:f>
              <c:numCache>
                <c:formatCode>General</c:formatCode>
                <c:ptCount val="36"/>
                <c:pt idx="0">
                  <c:v>-3.6281179138321996E-2</c:v>
                </c:pt>
                <c:pt idx="1">
                  <c:v>0.7256235827664399</c:v>
                </c:pt>
                <c:pt idx="2">
                  <c:v>1.4512471655328798</c:v>
                </c:pt>
                <c:pt idx="3">
                  <c:v>0.7256235827664399</c:v>
                </c:pt>
                <c:pt idx="4">
                  <c:v>1.306122448979592</c:v>
                </c:pt>
                <c:pt idx="5">
                  <c:v>0.50793650793650791</c:v>
                </c:pt>
                <c:pt idx="6">
                  <c:v>7.2562358276643986E-3</c:v>
                </c:pt>
                <c:pt idx="7">
                  <c:v>1.4512471655328798</c:v>
                </c:pt>
                <c:pt idx="8">
                  <c:v>2.0317460317460316</c:v>
                </c:pt>
                <c:pt idx="9">
                  <c:v>1.2335600907029478</c:v>
                </c:pt>
                <c:pt idx="10">
                  <c:v>0.73287981859410423</c:v>
                </c:pt>
                <c:pt idx="11">
                  <c:v>2.7573696145124713</c:v>
                </c:pt>
                <c:pt idx="12">
                  <c:v>2.1768707482993199</c:v>
                </c:pt>
                <c:pt idx="13">
                  <c:v>1.9591836734693877</c:v>
                </c:pt>
                <c:pt idx="14">
                  <c:v>1.4585034013605442</c:v>
                </c:pt>
                <c:pt idx="15">
                  <c:v>1.2335600907029478</c:v>
                </c:pt>
                <c:pt idx="16">
                  <c:v>0.73287981859410423</c:v>
                </c:pt>
                <c:pt idx="17">
                  <c:v>1.8140589569160999</c:v>
                </c:pt>
                <c:pt idx="18">
                  <c:v>1.3133786848072562</c:v>
                </c:pt>
                <c:pt idx="19">
                  <c:v>0.51519274376417235</c:v>
                </c:pt>
                <c:pt idx="20">
                  <c:v>1.9591836734693877</c:v>
                </c:pt>
                <c:pt idx="21">
                  <c:v>2.5396825396825395</c:v>
                </c:pt>
                <c:pt idx="22">
                  <c:v>1.4585034013605442</c:v>
                </c:pt>
                <c:pt idx="23">
                  <c:v>2.0390022675736961</c:v>
                </c:pt>
                <c:pt idx="24">
                  <c:v>1.2408163265306122</c:v>
                </c:pt>
                <c:pt idx="25">
                  <c:v>2.6848072562358278</c:v>
                </c:pt>
                <c:pt idx="26">
                  <c:v>3.2653061224489792</c:v>
                </c:pt>
                <c:pt idx="27">
                  <c:v>2.1841269841269839</c:v>
                </c:pt>
                <c:pt idx="28">
                  <c:v>2.7646258503401362</c:v>
                </c:pt>
                <c:pt idx="29">
                  <c:v>1.9664399092970521</c:v>
                </c:pt>
                <c:pt idx="30">
                  <c:v>1.2408163265306122</c:v>
                </c:pt>
                <c:pt idx="31">
                  <c:v>1.8213151927437643</c:v>
                </c:pt>
                <c:pt idx="32">
                  <c:v>1.9664399092970521</c:v>
                </c:pt>
                <c:pt idx="33">
                  <c:v>2.546938775510204</c:v>
                </c:pt>
                <c:pt idx="34">
                  <c:v>2.6920634920634918</c:v>
                </c:pt>
                <c:pt idx="35">
                  <c:v>3.2725623582766441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0-47A4-B885-67E107EB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1831"/>
        <c:axId val="905622024"/>
      </c:scatterChart>
      <c:valAx>
        <c:axId val="121741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22024"/>
        <c:crosses val="autoZero"/>
        <c:crossBetween val="midCat"/>
      </c:valAx>
      <c:valAx>
        <c:axId val="905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CDA</a:t>
            </a:r>
            <a:r>
              <a:rPr lang="en-GB" baseline="0"/>
              <a:t> vs Weight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783748906386697"/>
                  <c:y val="-0.11584973753280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  <c:pt idx="11">
                  <c:v>18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10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18</c:v>
                </c:pt>
                <c:pt idx="23">
                  <c:v>22</c:v>
                </c:pt>
                <c:pt idx="24">
                  <c:v>16</c:v>
                </c:pt>
                <c:pt idx="25">
                  <c:v>18</c:v>
                </c:pt>
                <c:pt idx="26">
                  <c:v>22</c:v>
                </c:pt>
                <c:pt idx="27">
                  <c:v>21</c:v>
                </c:pt>
                <c:pt idx="28">
                  <c:v>25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22</c:v>
                </c:pt>
                <c:pt idx="33">
                  <c:v>26</c:v>
                </c:pt>
                <c:pt idx="34">
                  <c:v>25</c:v>
                </c:pt>
                <c:pt idx="35">
                  <c:v>29</c:v>
                </c:pt>
              </c:numCache>
            </c:numRef>
          </c:xVal>
          <c:yVal>
            <c:numRef>
              <c:f>Sheet2!$I$2:$I$37</c:f>
              <c:numCache>
                <c:formatCode>General</c:formatCode>
                <c:ptCount val="36"/>
                <c:pt idx="0">
                  <c:v>0.43537414965986393</c:v>
                </c:pt>
                <c:pt idx="1">
                  <c:v>0.90702947845804993</c:v>
                </c:pt>
                <c:pt idx="2">
                  <c:v>0.94331065759637178</c:v>
                </c:pt>
                <c:pt idx="3">
                  <c:v>0.90702947845804993</c:v>
                </c:pt>
                <c:pt idx="4">
                  <c:v>1.08843537414966</c:v>
                </c:pt>
                <c:pt idx="5">
                  <c:v>0.78367346938775506</c:v>
                </c:pt>
                <c:pt idx="6">
                  <c:v>0.58049886621315194</c:v>
                </c:pt>
                <c:pt idx="7">
                  <c:v>1.08843537414966</c:v>
                </c:pt>
                <c:pt idx="8">
                  <c:v>1.2698412698412698</c:v>
                </c:pt>
                <c:pt idx="9">
                  <c:v>0.96507936507936498</c:v>
                </c:pt>
                <c:pt idx="10">
                  <c:v>0.76190476190476186</c:v>
                </c:pt>
                <c:pt idx="11">
                  <c:v>1.306122448979592</c:v>
                </c:pt>
                <c:pt idx="12">
                  <c:v>1.1247165532879817</c:v>
                </c:pt>
                <c:pt idx="13">
                  <c:v>1.0013605442176869</c:v>
                </c:pt>
                <c:pt idx="14">
                  <c:v>0.79818594104308394</c:v>
                </c:pt>
                <c:pt idx="15">
                  <c:v>0.96507936507936498</c:v>
                </c:pt>
                <c:pt idx="16">
                  <c:v>0.76190476190476186</c:v>
                </c:pt>
                <c:pt idx="17">
                  <c:v>1.146485260770975</c:v>
                </c:pt>
                <c:pt idx="18">
                  <c:v>0.94331065759637178</c:v>
                </c:pt>
                <c:pt idx="19">
                  <c:v>0.6385487528344671</c:v>
                </c:pt>
                <c:pt idx="20">
                  <c:v>1.146485260770975</c:v>
                </c:pt>
                <c:pt idx="21">
                  <c:v>1.327891156462585</c:v>
                </c:pt>
                <c:pt idx="22">
                  <c:v>0.94331065759637178</c:v>
                </c:pt>
                <c:pt idx="23">
                  <c:v>1.1247165532879817</c:v>
                </c:pt>
                <c:pt idx="24">
                  <c:v>0.81995464852607702</c:v>
                </c:pt>
                <c:pt idx="25">
                  <c:v>1.182766439909297</c:v>
                </c:pt>
                <c:pt idx="26">
                  <c:v>1.3641723356009068</c:v>
                </c:pt>
                <c:pt idx="27">
                  <c:v>0.97959183673469385</c:v>
                </c:pt>
                <c:pt idx="28">
                  <c:v>1.1609977324263039</c:v>
                </c:pt>
                <c:pt idx="29">
                  <c:v>0.8562358276643991</c:v>
                </c:pt>
                <c:pt idx="30">
                  <c:v>0.81995464852607702</c:v>
                </c:pt>
                <c:pt idx="31">
                  <c:v>1.0013605442176869</c:v>
                </c:pt>
                <c:pt idx="32">
                  <c:v>1.0013605442176869</c:v>
                </c:pt>
                <c:pt idx="33">
                  <c:v>1.182766439909297</c:v>
                </c:pt>
                <c:pt idx="34">
                  <c:v>1.0376417233560091</c:v>
                </c:pt>
                <c:pt idx="35">
                  <c:v>1.2190476190476189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B-45F2-B41F-06E4C408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62895"/>
        <c:axId val="1022097855"/>
      </c:scatterChart>
      <c:valAx>
        <c:axId val="85066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7855"/>
        <c:crosses val="autoZero"/>
        <c:crossBetween val="midCat"/>
      </c:valAx>
      <c:valAx>
        <c:axId val="10220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6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66675</xdr:rowOff>
    </xdr:from>
    <xdr:to>
      <xdr:col>20</xdr:col>
      <xdr:colOff>114300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65AA3-3CA0-F0B3-9E61-A02F25D5E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423862</xdr:colOff>
      <xdr:row>16</xdr:row>
      <xdr:rowOff>66675</xdr:rowOff>
    </xdr:from>
    <xdr:to>
      <xdr:col>20</xdr:col>
      <xdr:colOff>119062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2FE97-9129-922E-BD06-867CF0C9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3881F-4292-4521-84E4-C0363907834D}" name="Table1" displayName="Table1" ref="C2:U38" totalsRowShown="0">
  <autoFilter ref="C2:U38" xr:uid="{C793881F-4292-4521-84E4-C0363907834D}"/>
  <tableColumns count="19">
    <tableColumn id="1" xr3:uid="{763A2660-A13C-4870-A147-6DA44ADC049A}" name="Column1"/>
    <tableColumn id="2" xr3:uid="{3CE231CB-3C67-42CE-9839-3C5253645647}" name="No aero"/>
    <tableColumn id="3" xr3:uid="{C34A5873-A8C7-4705-B78E-25C86AB8487D}" name="FW"/>
    <tableColumn id="4" xr3:uid="{FCF3559F-DC1E-46FF-8892-BA6523DC4CBA}" name="RW"/>
    <tableColumn id="5" xr3:uid="{A7D358F6-31D2-4D52-95AD-092E707211EB}" name="Floor"/>
    <tableColumn id="6" xr3:uid="{A640C73B-019C-4169-8C4F-161538E62BFB}" name="Sidepods"/>
    <tableColumn id="7" xr3:uid="{B1B8BDCE-9957-4696-B3A5-C8B8F6D087C5}" name="Predicted Downforce">
      <calculatedColumnFormula>IF(ISNUMBER(SEARCH("YES", D3)), -5, -5)
+ IF(ISNUMBER(SEARCH("YES - S", E3)), 100, 0)
+ IF(ISNUMBER(SEARCH("YES - C", E3)), 150, 0)
+ IF(ISNUMBER(SEARCH("YES - S", F3)), 100, 0)
+ IF(ISNUMBER(SEARCH("YES - C", F3)), 150, 0)
+ IF(ISNUMBER(SEARCH("YES", G3)), 70, 0)
+ IF(ISNUMBER(SEARCH("YES", H3)), 1, 0)</calculatedColumnFormula>
    </tableColumn>
    <tableColumn id="8" xr3:uid="{620C1372-72F1-4C7E-9899-77DEA3C3E138}" name="Predicted Drag">
      <calculatedColumnFormula>IF(ISNUMBER(SEARCH("YES", D3)), 30, 50)
+ IF(ISNUMBER(SEARCH("YES - S", E3)), 25, 0)
+ IF(ISNUMBER(SEARCH("YES - C", E3)), 30, 0)
+ IF(ISNUMBER(SEARCH("YES - S", F3)), 25, 0)
+ IF(ISNUMBER(SEARCH("YES - C", F3)), 60, 0)
+ IF(ISNUMBER(SEARCH("YES", G3)), 8,0)
+ IF(ISNUMBER(SEARCH("YES", H3)), 10,30 )</calculatedColumnFormula>
    </tableColumn>
    <tableColumn id="9" xr3:uid="{059E10A7-6937-42B9-B565-6FC35654D407}" name="Predicted Added Weight">
      <calculatedColumnFormula>IF(ISNUMBER(SEARCH("YES", D3)), 0, 0)
+ IF(ISNUMBER(SEARCH("YES - S", E3)), 5, 0)
+ IF(ISNUMBER(SEARCH("YES - C", E3)), 8, 0)
+ IF(ISNUMBER(SEARCH("YES - S", F3)), 6, 0)
+ IF(ISNUMBER(SEARCH("YES - C", F3)), 10, 0)
+ IF(ISNUMBER(SEARCH("YES", G3)), 4, 0)
+ IF(ISNUMBER(SEARCH("YES", H3)), 7, 0)</calculatedColumnFormula>
    </tableColumn>
    <tableColumn id="10" xr3:uid="{BC338D0D-81B6-4521-9A2C-30234942F422}" name="Predicted Cost">
      <calculatedColumnFormula>IF(ISNUMBER(SEARCH("YES", D3)), 0, 0)
+ IF(ISNUMBER(SEARCH("YES - S", E3)), 250, 0)
+ IF(ISNUMBER(SEARCH("YES - C", E3)), 550, 0)
+ IF(ISNUMBER(SEARCH("YES - S", F3)), 250, 0)
+ IF(ISNUMBER(SEARCH("YES - C", F3)), 550, 0)
+ IF(ISNUMBER(SEARCH("YES", G3)), 400, 0)
+ IF(ISNUMBER(SEARCH("YES", H3)), 300, 0)</calculatedColumnFormula>
    </tableColumn>
    <tableColumn id="11" xr3:uid="{9CFAF04D-EA01-41AF-9F21-FF933E43B308}" name="xCg" dataDxfId="8">
      <calculatedColumnFormula>(($B$7+IF(ISNUMBER(SEARCH("YES",D3)),0,0)
+IF(ISNUMBER(SEARCH("YES - S",E3)),0.2*5,0)
+IF(ISNUMBER(SEARCH("YES - C",E3)),0.2*8,0)
+IF(ISNUMBER(SEARCH("YES - S",F3)),2.4*6,0)
+IF(ISNUMBER(SEARCH("YES - C",F3)),2.4*10,0)
+IF(ISNUMBER(SEARCH("YES",G3)),1.8*4,0)
+IF(ISNUMBER(SEARCH("YES",H3)),1.9*7,0)))/($B$6+K3)</calculatedColumnFormula>
    </tableColumn>
    <tableColumn id="12" xr3:uid="{D8AC3A46-7C9D-4AF9-A7C1-35DF66EA15A5}" name="x CoG (% between wheels)" dataDxfId="7">
      <calculatedColumnFormula>(M3-$B$8)/$B$9</calculatedColumnFormula>
    </tableColumn>
    <tableColumn id="13" xr3:uid="{18A46FE1-2F96-4654-914B-B52DC81341BB}" name="zCg" dataDxfId="6">
      <calculatedColumnFormula>(($B$10+IF(ISNUMBER(SEARCH("YES",D3)),0,0)
+IF(ISNUMBER(SEARCH("YES - S",E3)),0.08*5,0)
+IF(ISNUMBER(SEARCH("YES - C",E3)),0.08*8,0)
+IF(ISNUMBER(SEARCH("YES - S",F3)),0.85*6,0)
+IF(ISNUMBER(SEARCH("YES - C",F3)),0.85*10,0)
+IF(ISNUMBER(SEARCH("YES",G3)),0.06*4,0)
+IF(ISNUMBER(SEARCH("YES",H3)),0.2*7,0)))/($B$6+K3)</calculatedColumnFormula>
    </tableColumn>
    <tableColumn id="14" xr3:uid="{8C56F2B7-99B6-451C-A3F6-5E764ABE55EB}" name="SCl" dataDxfId="5">
      <calculatedColumnFormula>I3/(0.5*1.225*15*15)</calculatedColumnFormula>
    </tableColumn>
    <tableColumn id="15" xr3:uid="{0F8D9811-9DF8-49C9-8B5D-583B2BFDE8D5}" name="xCp" dataDxfId="4">
      <calculatedColumnFormula>(( -5*1.72)/P3
+IF(ISNUMBER(SEARCH("YES - S",E3)),(100*0.2)/P3,0)
+IF(ISNUMBER(SEARCH("YES - C",E3)),(200*0.2)/P3,0)
+IF(ISNUMBER(SEARCH("YES - S",F3)),100*2.4/P3,0)
+IF(ISNUMBER(SEARCH("YES - C",F3)),180*2.4/P3,0)
+IF(ISNUMBER(SEARCH("YES",G3)),70*1.8/P3,0)
+IF(ISNUMBER(SEARCH("YES",H3)),1*1.9/P3,0))/(0.5*1.225*15*15)</calculatedColumnFormula>
    </tableColumn>
    <tableColumn id="16" xr3:uid="{DEA66AD9-D7AD-4563-8742-7D7679356A3D}" name="xCp % between wheel" dataDxfId="3">
      <calculatedColumnFormula>(Q3-$B$8)/$B$9</calculatedColumnFormula>
    </tableColumn>
    <tableColumn id="17" xr3:uid="{70FAE00A-DFC7-481F-9492-33F4990875C1}" name="zCp" dataDxfId="2">
      <calculatedColumnFormula>(IF(ISNUMBER(SEARCH("YES", D3)), 30*0.31/T3, 50*0.31/T3)
+IF(ISNUMBER(SEARCH("YES - S",E3)),(25*0.08)/T3,0)
+IF(ISNUMBER(SEARCH("YES - C",E3)),(30*0.08)/T3,0)
+IF(ISNUMBER(SEARCH("YES - S",F3)),(25*0.85)/T3,0)
+IF(ISNUMBER(SEARCH("YES - C",F3)),(50*0.85)/T3,0)
+IF(ISNUMBER(SEARCH("YES",G3)),(8*0.6)/T3,0)
+IF(ISNUMBER(SEARCH("YES",H3)),(5*0.2)/T3,(10*0.2)/T3))/(0.5*1.225*15*15)</calculatedColumnFormula>
    </tableColumn>
    <tableColumn id="18" xr3:uid="{61F6AE1A-8C12-494E-95DF-CF19CD8C01B5}" name="SCd">
      <calculatedColumnFormula>J3/(0.5*1.225*15*15)</calculatedColumnFormula>
    </tableColumn>
    <tableColumn id="19" xr3:uid="{E3B7EDB2-D3E9-47CB-846F-D006BE4EEEA3}" name="COP-COG Split" dataDxfId="1">
      <calculatedColumnFormula>R3-N3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topLeftCell="B1" zoomScale="140" zoomScaleNormal="140" workbookViewId="0">
      <selection activeCell="E12" sqref="E12"/>
    </sheetView>
  </sheetViews>
  <sheetFormatPr defaultRowHeight="15" x14ac:dyDescent="0.25"/>
  <cols>
    <col min="1" max="1" width="21.42578125" customWidth="1"/>
    <col min="2" max="2" width="12.140625" customWidth="1"/>
    <col min="3" max="3" width="16.5703125" bestFit="1" customWidth="1"/>
    <col min="4" max="4" width="9" customWidth="1"/>
    <col min="5" max="5" width="5" customWidth="1"/>
    <col min="6" max="6" width="5.140625" customWidth="1"/>
    <col min="7" max="7" width="6.5703125" customWidth="1"/>
    <col min="8" max="8" width="10.28515625" customWidth="1"/>
    <col min="9" max="9" width="20.140625" customWidth="1"/>
    <col min="10" max="10" width="14.7109375" customWidth="1"/>
    <col min="11" max="11" width="22.7109375" customWidth="1"/>
    <col min="12" max="12" width="14.85546875" customWidth="1"/>
    <col min="13" max="13" width="6.7109375" bestFit="1" customWidth="1"/>
    <col min="14" max="14" width="25.42578125" bestFit="1" customWidth="1"/>
    <col min="15" max="15" width="6.7109375" bestFit="1" customWidth="1"/>
    <col min="16" max="16" width="6.28515625" bestFit="1" customWidth="1"/>
    <col min="17" max="17" width="5.7109375" bestFit="1" customWidth="1"/>
    <col min="18" max="18" width="20.85546875" customWidth="1"/>
    <col min="19" max="19" width="5.7109375" bestFit="1" customWidth="1"/>
    <col min="20" max="20" width="5.85546875" customWidth="1"/>
    <col min="21" max="21" width="15.140625" customWidth="1"/>
  </cols>
  <sheetData>
    <row r="1" spans="1:26" x14ac:dyDescent="0.25">
      <c r="A1" t="s">
        <v>42</v>
      </c>
    </row>
    <row r="2" spans="1:26" x14ac:dyDescent="0.25">
      <c r="C2" t="s">
        <v>41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s="5" t="s">
        <v>10</v>
      </c>
      <c r="O2" t="s">
        <v>11</v>
      </c>
      <c r="P2" t="s">
        <v>32</v>
      </c>
      <c r="Q2" t="s">
        <v>12</v>
      </c>
      <c r="R2" t="s">
        <v>13</v>
      </c>
      <c r="S2" t="s">
        <v>14</v>
      </c>
      <c r="T2" t="s">
        <v>33</v>
      </c>
      <c r="U2" t="s">
        <v>40</v>
      </c>
      <c r="Z2" t="s">
        <v>34</v>
      </c>
    </row>
    <row r="3" spans="1:26" x14ac:dyDescent="0.25">
      <c r="A3" t="s">
        <v>15</v>
      </c>
      <c r="C3">
        <v>1</v>
      </c>
      <c r="D3" t="s">
        <v>16</v>
      </c>
      <c r="E3" t="s">
        <v>17</v>
      </c>
      <c r="F3" t="s">
        <v>17</v>
      </c>
      <c r="G3" t="s">
        <v>17</v>
      </c>
      <c r="H3" t="s">
        <v>17</v>
      </c>
      <c r="I3">
        <f>IF(ISNUMBER(SEARCH("YES", D3)), -5, -5)
+ IF(ISNUMBER(SEARCH("YES - S", E3)), 100, 0)
+ IF(ISNUMBER(SEARCH("YES - C", E3)), 150, 0)
+ IF(ISNUMBER(SEARCH("YES - S", F3)), 100, 0)
+ IF(ISNUMBER(SEARCH("YES - C", F3)), 150, 0)
+ IF(ISNUMBER(SEARCH("YES", G3)), 70, 0)
+ IF(ISNUMBER(SEARCH("YES", H3)), 1, 0)</f>
        <v>-5</v>
      </c>
      <c r="J3">
        <f>IF(ISNUMBER(SEARCH("YES", D3)), 30, 50)
+ IF(ISNUMBER(SEARCH("YES - S", E3)), 25, 0)
+ IF(ISNUMBER(SEARCH("YES - C", E3)), 30, 0)
+ IF(ISNUMBER(SEARCH("YES - S", F3)), 25, 0)
+ IF(ISNUMBER(SEARCH("YES - C", F3)), 60, 0)
+ IF(ISNUMBER(SEARCH("YES", G3)), 8,0)
+ IF(ISNUMBER(SEARCH("YES", H3)), 10,30 )</f>
        <v>60</v>
      </c>
      <c r="K3">
        <f>IF(ISNUMBER(SEARCH("YES", D3)), 0, 0)
+ IF(ISNUMBER(SEARCH("YES - S", E3)), 5, 0)
+ IF(ISNUMBER(SEARCH("YES - C", E3)), 8, 0)
+ IF(ISNUMBER(SEARCH("YES - S", F3)), 6, 0)
+ IF(ISNUMBER(SEARCH("YES - C", F3)), 10, 0)
+ IF(ISNUMBER(SEARCH("YES", G3)), 4, 0)
+ IF(ISNUMBER(SEARCH("YES", H3)), 7, 0)</f>
        <v>0</v>
      </c>
      <c r="L3">
        <f t="shared" ref="L3:L38" si="0">IF(ISNUMBER(SEARCH("YES", D3)), 0, 0)
+ IF(ISNUMBER(SEARCH("YES - S", E3)), 250, 0)
+ IF(ISNUMBER(SEARCH("YES - C", E3)), 550, 0)
+ IF(ISNUMBER(SEARCH("YES - S", F3)), 250, 0)
+ IF(ISNUMBER(SEARCH("YES - C", F3)), 550, 0)
+ IF(ISNUMBER(SEARCH("YES", G3)), 400, 0)
+ IF(ISNUMBER(SEARCH("YES", H3)), 300, 0)</f>
        <v>0</v>
      </c>
      <c r="M3" s="3">
        <f>(($B$7+IF(ISNUMBER(SEARCH("YES",D3)),0,0)
+IF(ISNUMBER(SEARCH("YES - S",E3)),0.2*5,0)
+IF(ISNUMBER(SEARCH("YES - C",E3)),0.2*8,0)
+IF(ISNUMBER(SEARCH("YES - S",F3)),2.4*6,0)
+IF(ISNUMBER(SEARCH("YES - C",F3)),2.4*10,0)
+IF(ISNUMBER(SEARCH("YES",G3)),1.8*4,0)
+IF(ISNUMBER(SEARCH("YES",H3)),1.9*7,0)))/($B$6+K3)</f>
        <v>1.7205394190871368</v>
      </c>
      <c r="N3" s="3">
        <f>(M3-$B$8)/$B$9</f>
        <v>0.51395040096317146</v>
      </c>
      <c r="O3" s="3">
        <f>(($B$10+IF(ISNUMBER(SEARCH("YES",D3)),0,0)
+IF(ISNUMBER(SEARCH("YES - S",E3)),0.08*5,0)
+IF(ISNUMBER(SEARCH("YES - C",E3)),0.08*8,0)
+IF(ISNUMBER(SEARCH("YES - S",F3)),0.85*6,0)
+IF(ISNUMBER(SEARCH("YES - C",F3)),0.85*10,0)
+IF(ISNUMBER(SEARCH("YES",G3)),0.06*4,0)
+IF(ISNUMBER(SEARCH("YES",H3)),0.2*7,0)))/($B$6+K3)</f>
        <v>0.32668049792531123</v>
      </c>
      <c r="P3" s="4">
        <f>I3/(0.5*1.225*15*15)</f>
        <v>-3.6281179138321996E-2</v>
      </c>
      <c r="Q3" s="4">
        <f>(( -5*1.72)/P3
+IF(ISNUMBER(SEARCH("YES - S",E3)),(100*0.2)/P3,0)
+IF(ISNUMBER(SEARCH("YES - C",E3)),(200*0.2)/P3,0)
+IF(ISNUMBER(SEARCH("YES - S",F3)),100*2.4/P3,0)
+IF(ISNUMBER(SEARCH("YES - C",F3)),180*2.4/P3,0)
+IF(ISNUMBER(SEARCH("YES",G3)),70*1.8/P3,0)
+IF(ISNUMBER(SEARCH("YES",H3)),1*1.9/P3,0))/(0.5*1.225*15*15)</f>
        <v>1.72</v>
      </c>
      <c r="R3" s="2">
        <f t="shared" ref="R3:R38" si="1">(Q3-$B$8)/$B$9</f>
        <v>0.51360103626942999</v>
      </c>
      <c r="S3" s="4">
        <f>(IF(ISNUMBER(SEARCH("YES", D3)), 30*0.31/T3, 50*0.31/T3)
+IF(ISNUMBER(SEARCH("YES - S",E3)),(25*0.08)/T3,0)
+IF(ISNUMBER(SEARCH("YES - C",E3)),(30*0.08)/T3,0)
+IF(ISNUMBER(SEARCH("YES - S",F3)),(25*0.85)/T3,0)
+IF(ISNUMBER(SEARCH("YES - C",F3)),(50*0.85)/T3,0)
+IF(ISNUMBER(SEARCH("YES",G3)),(8*0.6)/T3,0)
+IF(ISNUMBER(SEARCH("YES",H3)),(5*0.2)/T3,(10*0.2)/T3))/(0.5*1.225*15*15)</f>
        <v>0.18833333333333335</v>
      </c>
      <c r="T3">
        <f>J3/(0.5*1.225*15*15)</f>
        <v>0.43537414965986393</v>
      </c>
      <c r="U3" s="2">
        <f>R3-N3</f>
        <v>-3.4936469374147183E-4</v>
      </c>
      <c r="Z3" t="s">
        <v>35</v>
      </c>
    </row>
    <row r="4" spans="1:26" x14ac:dyDescent="0.25">
      <c r="A4" t="s">
        <v>18</v>
      </c>
      <c r="C4">
        <v>2</v>
      </c>
      <c r="D4" t="s">
        <v>17</v>
      </c>
      <c r="E4" t="s">
        <v>19</v>
      </c>
      <c r="F4" t="s">
        <v>17</v>
      </c>
      <c r="G4" t="s">
        <v>17</v>
      </c>
      <c r="H4" t="s">
        <v>17</v>
      </c>
      <c r="I4">
        <f>IF(ISNUMBER(SEARCH("YES", D4)), -5, -5)
+ IF(ISNUMBER(SEARCH("YES - S", E4)), 100, 0)
+ IF(ISNUMBER(SEARCH("YES - C", E4)), 150, 0)
+ IF(ISNUMBER(SEARCH("YES - S", F4)), 100, 0)
+ IF(ISNUMBER(SEARCH("YES - C", F4)), 150, 0)
+ IF(ISNUMBER(SEARCH("YES", G4)), 70, 0)
+ IF(ISNUMBER(SEARCH("YES", H4)), 1, 0)</f>
        <v>95</v>
      </c>
      <c r="J4">
        <f>IF(ISNUMBER(SEARCH("YES", D4)), 30, 50)
+ IF(ISNUMBER(SEARCH("YES - S", E4)), 25, 0)
+ IF(ISNUMBER(SEARCH("YES - C", E4)), 30, 0)
+ IF(ISNUMBER(SEARCH("YES - S", F4)), 25, 0)
+ IF(ISNUMBER(SEARCH("YES - C", F4)), 60, 0)
+ IF(ISNUMBER(SEARCH("YES", G4)), 8,0)
+ IF(ISNUMBER(SEARCH("YES", H4)), 10,30 )</f>
        <v>105</v>
      </c>
      <c r="K4">
        <f t="shared" ref="K4:K38" si="2">IF(ISNUMBER(SEARCH("YES", D4)), 0, 0)
+ IF(ISNUMBER(SEARCH("YES - S", E4)), 5, 0)
+ IF(ISNUMBER(SEARCH("YES - C", E4)), 8, 0)
+ IF(ISNUMBER(SEARCH("YES - S", F4)), 6, 0)
+ IF(ISNUMBER(SEARCH("YES - C", F4)), 10, 0)
+ IF(ISNUMBER(SEARCH("YES", G4)), 4, 0)
+ IF(ISNUMBER(SEARCH("YES", H4)), 7, 0)</f>
        <v>5</v>
      </c>
      <c r="L4">
        <f t="shared" si="0"/>
        <v>250</v>
      </c>
      <c r="M4" s="3">
        <f t="shared" ref="M3:M38" si="3">(($B$7+IF(ISNUMBER(SEARCH("YES",D4)),0,0)
+IF(ISNUMBER(SEARCH("YES - S",E4)),0.2*5,0)
+IF(ISNUMBER(SEARCH("YES - C",E4)),0.2*8,0)
+IF(ISNUMBER(SEARCH("YES - S",F4)),2.4*6,0)
+IF(ISNUMBER(SEARCH("YES - C",F4)),2.4*10,0)
+IF(ISNUMBER(SEARCH("YES",G4)),1.8*4,0)
+IF(ISNUMBER(SEARCH("YES",H4)),1.9*7,0)))/($B$6+K4)</f>
        <v>1.6896341463414632</v>
      </c>
      <c r="N4" s="3">
        <f t="shared" ref="N3:N38" si="4">(M4-$B$8)/$B$9</f>
        <v>0.49393403260457458</v>
      </c>
      <c r="O4" s="3">
        <f t="shared" ref="O3:O38" si="5">(($B$10+IF(ISNUMBER(SEARCH("YES",D4)),0,0)
+IF(ISNUMBER(SEARCH("YES - S",E4)),0.08*5,0)
+IF(ISNUMBER(SEARCH("YES - C",E4)),0.08*8,0)
+IF(ISNUMBER(SEARCH("YES - S",F4)),0.85*6,0)
+IF(ISNUMBER(SEARCH("YES - C",F4)),0.85*10,0)
+IF(ISNUMBER(SEARCH("YES",G4)),0.06*4,0)
+IF(ISNUMBER(SEARCH("YES",H4)),0.2*7,0)))/($B$6+K4)</f>
        <v>0.32166666666666671</v>
      </c>
      <c r="P4" s="4">
        <f>I4/(0.5*1.225*15*15)</f>
        <v>0.68934240362811794</v>
      </c>
      <c r="Q4" s="4">
        <f>(( -5*1.72)/P4
+IF(ISNUMBER(SEARCH("YES - S",E4)),(100*0.2)/P4,0)
+IF(ISNUMBER(SEARCH("YES - C",E4)),(200*0.2)/P4,0)
+IF(ISNUMBER(SEARCH("YES - S",F4)),100*2.4/P4,0)
+IF(ISNUMBER(SEARCH("YES - C",F4)),180*2.4/P4,0)
+IF(ISNUMBER(SEARCH("YES",G4)),70*1.8/P4,0)
+IF(ISNUMBER(SEARCH("YES",H4)),1*1.9/P4,0))/(0.5*1.225*15*15)</f>
        <v>0.12000000000000001</v>
      </c>
      <c r="R4" s="2">
        <f>(Q4-$B$8)/$B$9</f>
        <v>-0.52266839378238339</v>
      </c>
      <c r="S4" s="4">
        <f>(IF(ISNUMBER(SEARCH("YES", D4)), 30*0.31/T4, 50*0.31/T4)
+IF(ISNUMBER(SEARCH("YES - S",E4)),(25*0.08)/T4,0)
+IF(ISNUMBER(SEARCH("YES - C",E4)),(30*0.08)/T4,0)
+IF(ISNUMBER(SEARCH("YES - S",F4)),(25*0.85)/T4,0)
+IF(ISNUMBER(SEARCH("YES - C",F4)),(50*0.85)/T4,0)
+IF(ISNUMBER(SEARCH("YES",G4)),(8*0.6)/T4,0)
+IF(ISNUMBER(SEARCH("YES",H4)),(5*0.2)/T4,(10*0.2)/T4))/(0.5*1.225*15*15)</f>
        <v>0.18571428571428572</v>
      </c>
      <c r="T4">
        <f>J4/(0.5*1.225*15*15)</f>
        <v>0.76190476190476186</v>
      </c>
      <c r="U4" s="2">
        <f t="shared" ref="U4:U38" si="6">R4-N4</f>
        <v>-1.016602426386958</v>
      </c>
      <c r="Z4" t="s">
        <v>36</v>
      </c>
    </row>
    <row r="5" spans="1:26" x14ac:dyDescent="0.25">
      <c r="C5">
        <v>3</v>
      </c>
      <c r="D5" t="s">
        <v>17</v>
      </c>
      <c r="E5" t="s">
        <v>20</v>
      </c>
      <c r="F5" t="s">
        <v>17</v>
      </c>
      <c r="G5" t="s">
        <v>17</v>
      </c>
      <c r="H5" t="s">
        <v>17</v>
      </c>
      <c r="I5">
        <f>IF(ISNUMBER(SEARCH("YES", D5)), -5, -5)
+ IF(ISNUMBER(SEARCH("YES - S", E5)), 100, 0)
+ IF(ISNUMBER(SEARCH("YES - C", E5)), 150, 0)
+ IF(ISNUMBER(SEARCH("YES - S", F5)), 100, 0)
+ IF(ISNUMBER(SEARCH("YES - C", F5)), 150, 0)
+ IF(ISNUMBER(SEARCH("YES", G5)), 70, 0)
+ IF(ISNUMBER(SEARCH("YES", H5)), 1, 0)</f>
        <v>145</v>
      </c>
      <c r="J5">
        <f>IF(ISNUMBER(SEARCH("YES", D5)), 30, 50)
+ IF(ISNUMBER(SEARCH("YES - S", E5)), 25, 0)
+ IF(ISNUMBER(SEARCH("YES - C", E5)), 30, 0)
+ IF(ISNUMBER(SEARCH("YES - S", F5)), 25, 0)
+ IF(ISNUMBER(SEARCH("YES - C", F5)), 60, 0)
+ IF(ISNUMBER(SEARCH("YES", G5)), 8,0)
+ IF(ISNUMBER(SEARCH("YES", H5)), 10,30 )</f>
        <v>110</v>
      </c>
      <c r="K5">
        <f t="shared" si="2"/>
        <v>8</v>
      </c>
      <c r="L5">
        <f t="shared" si="0"/>
        <v>550</v>
      </c>
      <c r="M5" s="3">
        <f t="shared" si="3"/>
        <v>1.6716867469879517</v>
      </c>
      <c r="N5" s="3">
        <f t="shared" si="4"/>
        <v>0.4823100692927148</v>
      </c>
      <c r="O5" s="3">
        <f t="shared" si="5"/>
        <v>0.31875502008032131</v>
      </c>
      <c r="P5" s="4">
        <f>I5/(0.5*1.225*15*15)</f>
        <v>1.0521541950113378</v>
      </c>
      <c r="Q5" s="4">
        <f>(( -5*1.72)/P5
+IF(ISNUMBER(SEARCH("YES - S",E5)),(100*0.2)/P5,0)
+IF(ISNUMBER(SEARCH("YES - C",E5)),(200*0.2)/P5,0)
+IF(ISNUMBER(SEARCH("YES - S",F5)),100*2.4/P5,0)
+IF(ISNUMBER(SEARCH("YES - C",F5)),180*2.4/P5,0)
+IF(ISNUMBER(SEARCH("YES",G5)),70*1.8/P5,0)
+IF(ISNUMBER(SEARCH("YES",H5)),1*1.9/P5,0))/(0.5*1.225*15*15)</f>
        <v>0.21655172413793106</v>
      </c>
      <c r="R5" s="2">
        <f t="shared" si="1"/>
        <v>-0.46013489369304983</v>
      </c>
      <c r="S5" s="4">
        <f>(IF(ISNUMBER(SEARCH("YES", D5)), 30*0.31/T5, 50*0.31/T5)
+IF(ISNUMBER(SEARCH("YES - S",E5)),(25*0.08)/T5,0)
+IF(ISNUMBER(SEARCH("YES - C",E5)),(30*0.08)/T5,0)
+IF(ISNUMBER(SEARCH("YES - S",F5)),(25*0.85)/T5,0)
+IF(ISNUMBER(SEARCH("YES - C",F5)),(50*0.85)/T5,0)
+IF(ISNUMBER(SEARCH("YES",G5)),(8*0.6)/T5,0)
+IF(ISNUMBER(SEARCH("YES",H5)),(5*0.2)/T5,(10*0.2)/T5))/(0.5*1.225*15*15)</f>
        <v>0.18090909090909091</v>
      </c>
      <c r="T5">
        <f>J5/(0.5*1.225*15*15)</f>
        <v>0.79818594104308394</v>
      </c>
      <c r="U5" s="2">
        <f t="shared" si="6"/>
        <v>-0.94244496298576463</v>
      </c>
      <c r="Z5" t="s">
        <v>37</v>
      </c>
    </row>
    <row r="6" spans="1:26" x14ac:dyDescent="0.25">
      <c r="A6" t="s">
        <v>21</v>
      </c>
      <c r="B6" s="1">
        <v>241</v>
      </c>
      <c r="C6">
        <v>4</v>
      </c>
      <c r="D6" t="s">
        <v>17</v>
      </c>
      <c r="E6" t="s">
        <v>17</v>
      </c>
      <c r="F6" t="s">
        <v>19</v>
      </c>
      <c r="G6" t="s">
        <v>17</v>
      </c>
      <c r="H6" t="s">
        <v>17</v>
      </c>
      <c r="I6">
        <f>IF(ISNUMBER(SEARCH("YES", D6)), -5, -5)
+ IF(ISNUMBER(SEARCH("YES - S", E6)), 100, 0)
+ IF(ISNUMBER(SEARCH("YES - C", E6)), 150, 0)
+ IF(ISNUMBER(SEARCH("YES - S", F6)), 100, 0)
+ IF(ISNUMBER(SEARCH("YES - C", F6)), 150, 0)
+ IF(ISNUMBER(SEARCH("YES", G6)), 70, 0)
+ IF(ISNUMBER(SEARCH("YES", H6)), 1, 0)</f>
        <v>95</v>
      </c>
      <c r="J6">
        <f>IF(ISNUMBER(SEARCH("YES", D6)), 30, 50)
+ IF(ISNUMBER(SEARCH("YES - S", E6)), 25, 0)
+ IF(ISNUMBER(SEARCH("YES - C", E6)), 30, 0)
+ IF(ISNUMBER(SEARCH("YES - S", F6)), 25, 0)
+ IF(ISNUMBER(SEARCH("YES - C", F6)), 60, 0)
+ IF(ISNUMBER(SEARCH("YES", G6)), 8,0)
+ IF(ISNUMBER(SEARCH("YES", H6)), 10,30 )</f>
        <v>105</v>
      </c>
      <c r="K6">
        <f>IF(ISNUMBER(SEARCH("YES", D6)), 0, 0)
+ IF(ISNUMBER(SEARCH("YES - S", E6)), 5, 0)
+ IF(ISNUMBER(SEARCH("YES - C", E6)), 8, 0)
+ IF(ISNUMBER(SEARCH("YES - S", F6)), 6, 0)
+ IF(ISNUMBER(SEARCH("YES - C", F6)), 10, 0)
+ IF(ISNUMBER(SEARCH("YES", G6)), 4, 0)
+ IF(ISNUMBER(SEARCH("YES", H6)), 7, 0)</f>
        <v>6</v>
      </c>
      <c r="L6">
        <f t="shared" si="0"/>
        <v>250</v>
      </c>
      <c r="M6" s="3">
        <f t="shared" si="3"/>
        <v>1.7370445344129553</v>
      </c>
      <c r="N6" s="3">
        <f t="shared" si="4"/>
        <v>0.52464024249543728</v>
      </c>
      <c r="O6" s="3">
        <f t="shared" si="5"/>
        <v>0.33939271255060727</v>
      </c>
      <c r="P6" s="4">
        <f>I6/(0.5*1.225*15*15)</f>
        <v>0.68934240362811794</v>
      </c>
      <c r="Q6" s="4">
        <f>(( -5*1.72)/P6
+IF(ISNUMBER(SEARCH("YES - S",E6)),(100*0.2)/P6,0)
+IF(ISNUMBER(SEARCH("YES - C",E6)),(200*0.2)/P6,0)
+IF(ISNUMBER(SEARCH("YES - S",F6)),100*2.4/P6,0)
+IF(ISNUMBER(SEARCH("YES - C",F6)),180*2.4/P6,0)
+IF(ISNUMBER(SEARCH("YES",G6)),70*1.8/P6,0)
+IF(ISNUMBER(SEARCH("YES",H6)),1*1.9/P6,0))/(0.5*1.225*15*15)</f>
        <v>2.4357894736842103</v>
      </c>
      <c r="R6" s="2">
        <f t="shared" si="1"/>
        <v>0.97719525497682003</v>
      </c>
      <c r="S6" s="4">
        <f>(IF(ISNUMBER(SEARCH("YES", D6)), 30*0.31/T6, 50*0.31/T6)
+IF(ISNUMBER(SEARCH("YES - S",E6)),(25*0.08)/T6,0)
+IF(ISNUMBER(SEARCH("YES - C",E6)),(30*0.08)/T6,0)
+IF(ISNUMBER(SEARCH("YES - S",F6)),(25*0.85)/T6,0)
+IF(ISNUMBER(SEARCH("YES - C",F6)),(50*0.85)/T6,0)
+IF(ISNUMBER(SEARCH("YES",G6)),(8*0.6)/T6,0)
+IF(ISNUMBER(SEARCH("YES",H6)),(5*0.2)/T6,(10*0.2)/T6))/(0.5*1.225*15*15)</f>
        <v>0.36904761904761907</v>
      </c>
      <c r="T6">
        <f>J6/(0.5*1.225*15*15)</f>
        <v>0.76190476190476186</v>
      </c>
      <c r="U6" s="2">
        <f t="shared" si="6"/>
        <v>0.45255501248138275</v>
      </c>
      <c r="Z6" t="s">
        <v>38</v>
      </c>
    </row>
    <row r="7" spans="1:26" x14ac:dyDescent="0.25">
      <c r="A7" t="s">
        <v>22</v>
      </c>
      <c r="B7" s="6">
        <v>414.65</v>
      </c>
      <c r="C7">
        <v>5</v>
      </c>
      <c r="D7" t="s">
        <v>17</v>
      </c>
      <c r="E7" t="s">
        <v>17</v>
      </c>
      <c r="F7" t="s">
        <v>20</v>
      </c>
      <c r="G7" t="s">
        <v>17</v>
      </c>
      <c r="H7" t="s">
        <v>17</v>
      </c>
      <c r="I7">
        <f>IF(ISNUMBER(SEARCH("YES", D7)), -5, -5)
+ IF(ISNUMBER(SEARCH("YES - S", E7)), 100, 0)
+ IF(ISNUMBER(SEARCH("YES - C", E7)), 150, 0)
+ IF(ISNUMBER(SEARCH("YES - S", F7)), 100, 0)
+ IF(ISNUMBER(SEARCH("YES - C", F7)), 150, 0)
+ IF(ISNUMBER(SEARCH("YES", G7)), 70, 0)
+ IF(ISNUMBER(SEARCH("YES", H7)), 1, 0)</f>
        <v>145</v>
      </c>
      <c r="J7">
        <f>IF(ISNUMBER(SEARCH("YES", D7)), 30, 50)
+ IF(ISNUMBER(SEARCH("YES - S", E7)), 25, 0)
+ IF(ISNUMBER(SEARCH("YES - C", E7)), 30, 0)
+ IF(ISNUMBER(SEARCH("YES - S", F7)), 25, 0)
+ IF(ISNUMBER(SEARCH("YES - C", F7)), 60, 0)
+ IF(ISNUMBER(SEARCH("YES", G7)), 8,0)
+ IF(ISNUMBER(SEARCH("YES", H7)), 10,30 )</f>
        <v>140</v>
      </c>
      <c r="K7">
        <f t="shared" si="2"/>
        <v>10</v>
      </c>
      <c r="L7">
        <f>IF(ISNUMBER(SEARCH("YES", D7)), 0, 0)
+ IF(ISNUMBER(SEARCH("YES - S", E7)), 250, 0)
+ IF(ISNUMBER(SEARCH("YES - C", E7)), 550, 0)
+ IF(ISNUMBER(SEARCH("YES - S", F7)), 250, 0)
+ IF(ISNUMBER(SEARCH("YES - C", F7)), 550, 0)
+ IF(ISNUMBER(SEARCH("YES", G7)), 400, 0)
+ IF(ISNUMBER(SEARCH("YES", H7)), 300, 0)</f>
        <v>550</v>
      </c>
      <c r="M7" s="3">
        <f t="shared" si="3"/>
        <v>1.7476095617529879</v>
      </c>
      <c r="N7" s="3">
        <f t="shared" si="4"/>
        <v>0.53148287678302319</v>
      </c>
      <c r="O7" s="3">
        <f t="shared" si="5"/>
        <v>0.34752988047808764</v>
      </c>
      <c r="P7" s="4">
        <f>I7/(0.5*1.225*15*15)</f>
        <v>1.0521541950113378</v>
      </c>
      <c r="Q7" s="4">
        <f>(( -5*1.72)/P7
+IF(ISNUMBER(SEARCH("YES - S",E7)),(100*0.2)/P7,0)
+IF(ISNUMBER(SEARCH("YES - C",E7)),(200*0.2)/P7,0)
+IF(ISNUMBER(SEARCH("YES - S",F7)),100*2.4/P7,0)
+IF(ISNUMBER(SEARCH("YES - C",F7)),180*2.4/P7,0)
+IF(ISNUMBER(SEARCH("YES",G7)),70*1.8/P7,0)
+IF(ISNUMBER(SEARCH("YES",H7)),1*1.9/P7,0))/(0.5*1.225*15*15)</f>
        <v>2.9200000000000004</v>
      </c>
      <c r="R7" s="2">
        <f t="shared" si="1"/>
        <v>1.2908031088082903</v>
      </c>
      <c r="S7" s="4">
        <f>(IF(ISNUMBER(SEARCH("YES", D7)), 30*0.31/T7, 50*0.31/T7)
+IF(ISNUMBER(SEARCH("YES - S",E7)),(25*0.08)/T7,0)
+IF(ISNUMBER(SEARCH("YES - C",E7)),(30*0.08)/T7,0)
+IF(ISNUMBER(SEARCH("YES - S",F7)),(25*0.85)/T7,0)
+IF(ISNUMBER(SEARCH("YES - C",F7)),(50*0.85)/T7,0)
+IF(ISNUMBER(SEARCH("YES",G7)),(8*0.6)/T7,0)
+IF(ISNUMBER(SEARCH("YES",H7)),(5*0.2)/T7,(10*0.2)/T7))/(0.5*1.225*15*15)</f>
        <v>0.42857142857142855</v>
      </c>
      <c r="T7">
        <f>J7/(0.5*1.225*15*15)</f>
        <v>1.0158730158730158</v>
      </c>
      <c r="U7" s="2">
        <f t="shared" si="6"/>
        <v>0.75932023202526711</v>
      </c>
      <c r="Z7" t="s">
        <v>3</v>
      </c>
    </row>
    <row r="8" spans="1:26" x14ac:dyDescent="0.25">
      <c r="A8" t="s">
        <v>23</v>
      </c>
      <c r="B8" s="1">
        <v>0.92700000000000005</v>
      </c>
      <c r="C8">
        <v>6</v>
      </c>
      <c r="D8" t="s">
        <v>17</v>
      </c>
      <c r="E8" t="s">
        <v>17</v>
      </c>
      <c r="F8" t="s">
        <v>17</v>
      </c>
      <c r="G8" t="s">
        <v>16</v>
      </c>
      <c r="H8" t="s">
        <v>17</v>
      </c>
      <c r="I8">
        <f>IF(ISNUMBER(SEARCH("YES", D8)), -5, -5)
+ IF(ISNUMBER(SEARCH("YES - S", E8)), 100, 0)
+ IF(ISNUMBER(SEARCH("YES - C", E8)), 150, 0)
+ IF(ISNUMBER(SEARCH("YES - S", F8)), 100, 0)
+ IF(ISNUMBER(SEARCH("YES - C", F8)), 150, 0)
+ IF(ISNUMBER(SEARCH("YES", G8)), 70, 0)
+ IF(ISNUMBER(SEARCH("YES", H8)), 1, 0)</f>
        <v>65</v>
      </c>
      <c r="J8">
        <f>IF(ISNUMBER(SEARCH("YES", D8)), 30, 50)
+ IF(ISNUMBER(SEARCH("YES - S", E8)), 25, 0)
+ IF(ISNUMBER(SEARCH("YES - C", E8)), 30, 0)
+ IF(ISNUMBER(SEARCH("YES - S", F8)), 25, 0)
+ IF(ISNUMBER(SEARCH("YES - C", F8)), 60, 0)
+ IF(ISNUMBER(SEARCH("YES", G8)), 8,0)
+ IF(ISNUMBER(SEARCH("YES", H8)), 10,30 )</f>
        <v>88</v>
      </c>
      <c r="K8">
        <f t="shared" si="2"/>
        <v>4</v>
      </c>
      <c r="L8">
        <f t="shared" si="0"/>
        <v>400</v>
      </c>
      <c r="M8" s="3">
        <f t="shared" si="3"/>
        <v>1.7218367346938774</v>
      </c>
      <c r="N8" s="3">
        <f t="shared" si="4"/>
        <v>0.51479063127841795</v>
      </c>
      <c r="O8" s="3">
        <f t="shared" si="5"/>
        <v>0.32232653061224487</v>
      </c>
      <c r="P8" s="4">
        <f>I8/(0.5*1.225*15*15)</f>
        <v>0.47165532879818595</v>
      </c>
      <c r="Q8" s="4">
        <f>(( -5*1.72)/P8
+IF(ISNUMBER(SEARCH("YES - S",E8)),(100*0.2)/P8,0)
+IF(ISNUMBER(SEARCH("YES - C",E8)),(200*0.2)/P8,0)
+IF(ISNUMBER(SEARCH("YES - S",F8)),100*2.4/P8,0)
+IF(ISNUMBER(SEARCH("YES - C",F8)),180*2.4/P8,0)
+IF(ISNUMBER(SEARCH("YES",G8)),70*1.8/P8,0)
+IF(ISNUMBER(SEARCH("YES",H8)),1*1.9/P8,0))/(0.5*1.225*15*15)</f>
        <v>1.806153846153846</v>
      </c>
      <c r="R8" s="2">
        <f t="shared" si="1"/>
        <v>0.56940015942606603</v>
      </c>
      <c r="S8" s="4">
        <f>(IF(ISNUMBER(SEARCH("YES", D8)), 30*0.31/T8, 50*0.31/T8)
+IF(ISNUMBER(SEARCH("YES - S",E8)),(25*0.08)/T8,0)
+IF(ISNUMBER(SEARCH("YES - C",E8)),(30*0.08)/T8,0)
+IF(ISNUMBER(SEARCH("YES - S",F8)),(25*0.85)/T8,0)
+IF(ISNUMBER(SEARCH("YES - C",F8)),(50*0.85)/T8,0)
+IF(ISNUMBER(SEARCH("YES",G8)),(8*0.6)/T8,0)
+IF(ISNUMBER(SEARCH("YES",H8)),(5*0.2)/T8,(10*0.2)/T8))/(0.5*1.225*15*15)</f>
        <v>0.25340909090909086</v>
      </c>
      <c r="T8">
        <f>J8/(0.5*1.225*15*15)</f>
        <v>0.6385487528344671</v>
      </c>
      <c r="U8" s="2">
        <f t="shared" si="6"/>
        <v>5.4609528147648079E-2</v>
      </c>
      <c r="Z8" t="s">
        <v>39</v>
      </c>
    </row>
    <row r="9" spans="1:26" x14ac:dyDescent="0.25">
      <c r="A9" t="s">
        <v>24</v>
      </c>
      <c r="B9" s="1">
        <v>1.544</v>
      </c>
      <c r="C9">
        <v>7</v>
      </c>
      <c r="D9" t="s">
        <v>17</v>
      </c>
      <c r="E9" t="s">
        <v>17</v>
      </c>
      <c r="F9" t="s">
        <v>17</v>
      </c>
      <c r="G9" t="s">
        <v>17</v>
      </c>
      <c r="H9" t="s">
        <v>16</v>
      </c>
      <c r="I9">
        <f>IF(ISNUMBER(SEARCH("YES", D9)), -5, -5)
+ IF(ISNUMBER(SEARCH("YES - S", E9)), 100, 0)
+ IF(ISNUMBER(SEARCH("YES - C", E9)), 150, 0)
+ IF(ISNUMBER(SEARCH("YES - S", F9)), 100, 0)
+ IF(ISNUMBER(SEARCH("YES - C", F9)), 150, 0)
+ IF(ISNUMBER(SEARCH("YES", G9)), 70, 0)
+ IF(ISNUMBER(SEARCH("YES", H9)), 1, 0)</f>
        <v>-4</v>
      </c>
      <c r="J9">
        <f>IF(ISNUMBER(SEARCH("YES", D9)), 30, 50)
+ IF(ISNUMBER(SEARCH("YES - S", E9)), 25, 0)
+ IF(ISNUMBER(SEARCH("YES - C", E9)), 30, 0)
+ IF(ISNUMBER(SEARCH("YES - S", F9)), 25, 0)
+ IF(ISNUMBER(SEARCH("YES - C", F9)), 60, 0)
+ IF(ISNUMBER(SEARCH("YES", G9)), 8,0)
+ IF(ISNUMBER(SEARCH("YES", H9)), 10,30 )</f>
        <v>60</v>
      </c>
      <c r="K9">
        <f t="shared" si="2"/>
        <v>7</v>
      </c>
      <c r="L9">
        <f t="shared" si="0"/>
        <v>300</v>
      </c>
      <c r="M9" s="3">
        <f t="shared" si="3"/>
        <v>1.7256048387096774</v>
      </c>
      <c r="N9" s="3">
        <f t="shared" si="4"/>
        <v>0.51723111315393611</v>
      </c>
      <c r="O9" s="3">
        <f t="shared" si="5"/>
        <v>0.32310483870967743</v>
      </c>
      <c r="P9" s="4">
        <f>I9/(0.5*1.225*15*15)</f>
        <v>-2.9024943310657598E-2</v>
      </c>
      <c r="Q9" s="4">
        <f>(( -5*1.72)/P9
+IF(ISNUMBER(SEARCH("YES - S",E9)),(100*0.2)/P9,0)
+IF(ISNUMBER(SEARCH("YES - C",E9)),(200*0.2)/P9,0)
+IF(ISNUMBER(SEARCH("YES - S",F9)),100*2.4/P9,0)
+IF(ISNUMBER(SEARCH("YES - C",F9)),180*2.4/P9,0)
+IF(ISNUMBER(SEARCH("YES",G9)),70*1.8/P9,0)
+IF(ISNUMBER(SEARCH("YES",H9)),1*1.9/P9,0))/(0.5*1.225*15*15)</f>
        <v>1.675</v>
      </c>
      <c r="R9" s="2">
        <f t="shared" si="1"/>
        <v>0.4844559585492228</v>
      </c>
      <c r="S9" s="4">
        <f>(IF(ISNUMBER(SEARCH("YES", D9)), 30*0.31/T9, 50*0.31/T9)
+IF(ISNUMBER(SEARCH("YES - S",E9)),(25*0.08)/T9,0)
+IF(ISNUMBER(SEARCH("YES - C",E9)),(30*0.08)/T9,0)
+IF(ISNUMBER(SEARCH("YES - S",F9)),(25*0.85)/T9,0)
+IF(ISNUMBER(SEARCH("YES - C",F9)),(50*0.85)/T9,0)
+IF(ISNUMBER(SEARCH("YES",G9)),(8*0.6)/T9,0)
+IF(ISNUMBER(SEARCH("YES",H9)),(5*0.2)/T9,(10*0.2)/T9))/(0.5*1.225*15*15)</f>
        <v>0.27500000000000002</v>
      </c>
      <c r="T9">
        <f>J9/(0.5*1.225*15*15)</f>
        <v>0.43537414965986393</v>
      </c>
      <c r="U9" s="2">
        <f t="shared" si="6"/>
        <v>-3.2775154604713308E-2</v>
      </c>
    </row>
    <row r="10" spans="1:26" x14ac:dyDescent="0.25">
      <c r="A10" t="s">
        <v>25</v>
      </c>
      <c r="B10" s="1">
        <v>78.73</v>
      </c>
      <c r="C10">
        <v>8</v>
      </c>
      <c r="D10" t="s">
        <v>17</v>
      </c>
      <c r="E10" t="s">
        <v>19</v>
      </c>
      <c r="F10" t="s">
        <v>19</v>
      </c>
      <c r="G10" t="s">
        <v>17</v>
      </c>
      <c r="H10" t="s">
        <v>17</v>
      </c>
      <c r="I10">
        <f>IF(ISNUMBER(SEARCH("YES", D10)), -5, -5)
+ IF(ISNUMBER(SEARCH("YES - S", E10)), 100, 0)
+ IF(ISNUMBER(SEARCH("YES - C", E10)), 150, 0)
+ IF(ISNUMBER(SEARCH("YES - S", F10)), 100, 0)
+ IF(ISNUMBER(SEARCH("YES - C", F10)), 150, 0)
+ IF(ISNUMBER(SEARCH("YES", G10)), 70, 0)
+ IF(ISNUMBER(SEARCH("YES", H10)), 1, 0)</f>
        <v>195</v>
      </c>
      <c r="J10">
        <f>IF(ISNUMBER(SEARCH("YES", D10)), 30, 50)
+ IF(ISNUMBER(SEARCH("YES - S", E10)), 25, 0)
+ IF(ISNUMBER(SEARCH("YES - C", E10)), 30, 0)
+ IF(ISNUMBER(SEARCH("YES - S", F10)), 25, 0)
+ IF(ISNUMBER(SEARCH("YES - C", F10)), 60, 0)
+ IF(ISNUMBER(SEARCH("YES", G10)), 8,0)
+ IF(ISNUMBER(SEARCH("YES", H10)), 10,30 )</f>
        <v>130</v>
      </c>
      <c r="K10">
        <f t="shared" si="2"/>
        <v>11</v>
      </c>
      <c r="L10">
        <f t="shared" si="0"/>
        <v>500</v>
      </c>
      <c r="M10" s="3">
        <f t="shared" si="3"/>
        <v>1.7065476190476188</v>
      </c>
      <c r="N10" s="3">
        <f t="shared" si="4"/>
        <v>0.50488835430545254</v>
      </c>
      <c r="O10" s="3">
        <f t="shared" si="5"/>
        <v>0.33424603174603174</v>
      </c>
      <c r="P10" s="4">
        <f>I10/(0.5*1.225*15*15)</f>
        <v>1.4149659863945578</v>
      </c>
      <c r="Q10" s="4">
        <f>(( -5*1.72)/P10
+IF(ISNUMBER(SEARCH("YES - S",E10)),(100*0.2)/P10,0)
+IF(ISNUMBER(SEARCH("YES - C",E10)),(200*0.2)/P10,0)
+IF(ISNUMBER(SEARCH("YES - S",F10)),100*2.4/P10,0)
+IF(ISNUMBER(SEARCH("YES - C",F10)),180*2.4/P10,0)
+IF(ISNUMBER(SEARCH("YES",G10)),70*1.8/P10,0)
+IF(ISNUMBER(SEARCH("YES",H10)),1*1.9/P10,0))/(0.5*1.225*15*15)</f>
        <v>1.2892307692307692</v>
      </c>
      <c r="R10" s="2">
        <f t="shared" si="1"/>
        <v>0.23460542048624944</v>
      </c>
      <c r="S10" s="4">
        <f>(IF(ISNUMBER(SEARCH("YES", D10)), 30*0.31/T10, 50*0.31/T10)
+IF(ISNUMBER(SEARCH("YES - S",E10)),(25*0.08)/T10,0)
+IF(ISNUMBER(SEARCH("YES - C",E10)),(30*0.08)/T10,0)
+IF(ISNUMBER(SEARCH("YES - S",F10)),(25*0.85)/T10,0)
+IF(ISNUMBER(SEARCH("YES - C",F10)),(50*0.85)/T10,0)
+IF(ISNUMBER(SEARCH("YES",G10)),(8*0.6)/T10,0)
+IF(ISNUMBER(SEARCH("YES",H10)),(5*0.2)/T10,(10*0.2)/T10))/(0.5*1.225*15*15)</f>
        <v>0.31346153846153846</v>
      </c>
      <c r="T10">
        <f>J10/(0.5*1.225*15*15)</f>
        <v>0.94331065759637189</v>
      </c>
      <c r="U10" s="2">
        <f t="shared" si="6"/>
        <v>-0.2702829338192031</v>
      </c>
    </row>
    <row r="11" spans="1:26" x14ac:dyDescent="0.25">
      <c r="B11" s="1"/>
      <c r="C11">
        <v>9</v>
      </c>
      <c r="D11" t="s">
        <v>17</v>
      </c>
      <c r="E11" t="s">
        <v>19</v>
      </c>
      <c r="F11" t="s">
        <v>20</v>
      </c>
      <c r="G11" t="s">
        <v>17</v>
      </c>
      <c r="H11" t="s">
        <v>17</v>
      </c>
      <c r="I11">
        <f>IF(ISNUMBER(SEARCH("YES", D11)), -5, -5)
+ IF(ISNUMBER(SEARCH("YES - S", E11)), 100, 0)
+ IF(ISNUMBER(SEARCH("YES - C", E11)), 150, 0)
+ IF(ISNUMBER(SEARCH("YES - S", F11)), 100, 0)
+ IF(ISNUMBER(SEARCH("YES - C", F11)), 150, 0)
+ IF(ISNUMBER(SEARCH("YES", G11)), 70, 0)
+ IF(ISNUMBER(SEARCH("YES", H11)), 1, 0)</f>
        <v>245</v>
      </c>
      <c r="J11">
        <f>IF(ISNUMBER(SEARCH("YES", D11)), 30, 50)
+ IF(ISNUMBER(SEARCH("YES - S", E11)), 25, 0)
+ IF(ISNUMBER(SEARCH("YES - C", E11)), 30, 0)
+ IF(ISNUMBER(SEARCH("YES - S", F11)), 25, 0)
+ IF(ISNUMBER(SEARCH("YES - C", F11)), 60, 0)
+ IF(ISNUMBER(SEARCH("YES", G11)), 8,0)
+ IF(ISNUMBER(SEARCH("YES", H11)), 10,30 )</f>
        <v>165</v>
      </c>
      <c r="K11">
        <f t="shared" si="2"/>
        <v>15</v>
      </c>
      <c r="L11">
        <f t="shared" si="0"/>
        <v>800</v>
      </c>
      <c r="M11" s="3">
        <f t="shared" si="3"/>
        <v>1.7173828124999999</v>
      </c>
      <c r="N11" s="3">
        <f t="shared" si="4"/>
        <v>0.51190596664507759</v>
      </c>
      <c r="O11" s="3">
        <f t="shared" si="5"/>
        <v>0.34230468750000004</v>
      </c>
      <c r="P11" s="4">
        <f>I11/(0.5*1.225*15*15)</f>
        <v>1.7777777777777777</v>
      </c>
      <c r="Q11" s="4">
        <f>(( -5*1.72)/P11
+IF(ISNUMBER(SEARCH("YES - S",E11)),(100*0.2)/P11,0)
+IF(ISNUMBER(SEARCH("YES - C",E11)),(200*0.2)/P11,0)
+IF(ISNUMBER(SEARCH("YES - S",F11)),100*2.4/P11,0)
+IF(ISNUMBER(SEARCH("YES - C",F11)),180*2.4/P11,0)
+IF(ISNUMBER(SEARCH("YES",G11)),70*1.8/P11,0)
+IF(ISNUMBER(SEARCH("YES",H11)),1*1.9/P11,0))/(0.5*1.225*15*15)</f>
        <v>1.8097959183673469</v>
      </c>
      <c r="R11" s="2">
        <f t="shared" si="1"/>
        <v>0.57175901448662358</v>
      </c>
      <c r="S11" s="4">
        <f>(IF(ISNUMBER(SEARCH("YES", D11)), 30*0.31/T11, 50*0.31/T11)
+IF(ISNUMBER(SEARCH("YES - S",E11)),(25*0.08)/T11,0)
+IF(ISNUMBER(SEARCH("YES - C",E11)),(30*0.08)/T11,0)
+IF(ISNUMBER(SEARCH("YES - S",F11)),(25*0.85)/T11,0)
+IF(ISNUMBER(SEARCH("YES - C",F11)),(50*0.85)/T11,0)
+IF(ISNUMBER(SEARCH("YES",G11)),(8*0.6)/T11,0)
+IF(ISNUMBER(SEARCH("YES",H11)),(5*0.2)/T11,(10*0.2)/T11))/(0.5*1.225*15*15)</f>
        <v>0.37575757575757579</v>
      </c>
      <c r="T11">
        <f>J11/(0.5*1.225*15*15)</f>
        <v>1.1972789115646258</v>
      </c>
      <c r="U11" s="2">
        <f t="shared" si="6"/>
        <v>5.9853047841545992E-2</v>
      </c>
    </row>
    <row r="12" spans="1:26" x14ac:dyDescent="0.25">
      <c r="C12">
        <v>10</v>
      </c>
      <c r="D12" t="s">
        <v>17</v>
      </c>
      <c r="E12" t="s">
        <v>19</v>
      </c>
      <c r="F12" t="s">
        <v>17</v>
      </c>
      <c r="G12" t="s">
        <v>16</v>
      </c>
      <c r="H12" t="s">
        <v>17</v>
      </c>
      <c r="I12">
        <f>IF(ISNUMBER(SEARCH("YES", D12)), -5, -5)
+ IF(ISNUMBER(SEARCH("YES - S", E12)), 100, 0)
+ IF(ISNUMBER(SEARCH("YES - C", E12)), 150, 0)
+ IF(ISNUMBER(SEARCH("YES - S", F12)), 100, 0)
+ IF(ISNUMBER(SEARCH("YES - C", F12)), 150, 0)
+ IF(ISNUMBER(SEARCH("YES", G12)), 70, 0)
+ IF(ISNUMBER(SEARCH("YES", H12)), 1, 0)</f>
        <v>165</v>
      </c>
      <c r="J12">
        <f>IF(ISNUMBER(SEARCH("YES", D12)), 30, 50)
+ IF(ISNUMBER(SEARCH("YES - S", E12)), 25, 0)
+ IF(ISNUMBER(SEARCH("YES - C", E12)), 30, 0)
+ IF(ISNUMBER(SEARCH("YES - S", F12)), 25, 0)
+ IF(ISNUMBER(SEARCH("YES - C", F12)), 60, 0)
+ IF(ISNUMBER(SEARCH("YES", G12)), 8,0)
+ IF(ISNUMBER(SEARCH("YES", H12)), 10,30 )</f>
        <v>113</v>
      </c>
      <c r="K12">
        <f t="shared" si="2"/>
        <v>9</v>
      </c>
      <c r="L12">
        <f t="shared" si="0"/>
        <v>650</v>
      </c>
      <c r="M12" s="3">
        <f t="shared" si="3"/>
        <v>1.6913999999999998</v>
      </c>
      <c r="N12" s="3">
        <f t="shared" si="4"/>
        <v>0.49507772020725371</v>
      </c>
      <c r="O12" s="3">
        <f t="shared" si="5"/>
        <v>0.31748000000000004</v>
      </c>
      <c r="P12" s="4">
        <f>I12/(0.5*1.225*15*15)</f>
        <v>1.1972789115646258</v>
      </c>
      <c r="Q12" s="4">
        <f>(( -5*1.72)/P12
+IF(ISNUMBER(SEARCH("YES - S",E12)),(100*0.2)/P12,0)
+IF(ISNUMBER(SEARCH("YES - C",E12)),(200*0.2)/P12,0)
+IF(ISNUMBER(SEARCH("YES - S",F12)),100*2.4/P12,0)
+IF(ISNUMBER(SEARCH("YES - C",F12)),180*2.4/P12,0)
+IF(ISNUMBER(SEARCH("YES",G12)),70*1.8/P12,0)
+IF(ISNUMBER(SEARCH("YES",H12)),1*1.9/P12,0))/(0.5*1.225*15*15)</f>
        <v>0.83272727272727265</v>
      </c>
      <c r="R12" s="2">
        <f t="shared" si="1"/>
        <v>-6.1057465850212045E-2</v>
      </c>
      <c r="S12" s="4">
        <f>(IF(ISNUMBER(SEARCH("YES", D12)), 30*0.31/T12, 50*0.31/T12)
+IF(ISNUMBER(SEARCH("YES - S",E12)),(25*0.08)/T12,0)
+IF(ISNUMBER(SEARCH("YES - C",E12)),(30*0.08)/T12,0)
+IF(ISNUMBER(SEARCH("YES - S",F12)),(25*0.85)/T12,0)
+IF(ISNUMBER(SEARCH("YES - C",F12)),(50*0.85)/T12,0)
+IF(ISNUMBER(SEARCH("YES",G12)),(8*0.6)/T12,0)
+IF(ISNUMBER(SEARCH("YES",H12)),(5*0.2)/T12,(10*0.2)/T12))/(0.5*1.225*15*15)</f>
        <v>0.21504424778761061</v>
      </c>
      <c r="T12">
        <f>J12/(0.5*1.225*15*15)</f>
        <v>0.81995464852607713</v>
      </c>
      <c r="U12" s="2">
        <f t="shared" si="6"/>
        <v>-0.5561351860574657</v>
      </c>
    </row>
    <row r="13" spans="1:26" x14ac:dyDescent="0.25">
      <c r="C13">
        <v>11</v>
      </c>
      <c r="D13" t="s">
        <v>17</v>
      </c>
      <c r="E13" t="s">
        <v>19</v>
      </c>
      <c r="F13" t="s">
        <v>17</v>
      </c>
      <c r="G13" t="s">
        <v>17</v>
      </c>
      <c r="H13" t="s">
        <v>16</v>
      </c>
      <c r="I13">
        <f>IF(ISNUMBER(SEARCH("YES", D13)), -5, -5)
+ IF(ISNUMBER(SEARCH("YES - S", E13)), 100, 0)
+ IF(ISNUMBER(SEARCH("YES - C", E13)), 150, 0)
+ IF(ISNUMBER(SEARCH("YES - S", F13)), 100, 0)
+ IF(ISNUMBER(SEARCH("YES - C", F13)), 150, 0)
+ IF(ISNUMBER(SEARCH("YES", G13)), 70, 0)
+ IF(ISNUMBER(SEARCH("YES", H13)), 1, 0)</f>
        <v>96</v>
      </c>
      <c r="J13">
        <f>IF(ISNUMBER(SEARCH("YES", D13)), 30, 50)
+ IF(ISNUMBER(SEARCH("YES - S", E13)), 25, 0)
+ IF(ISNUMBER(SEARCH("YES - C", E13)), 30, 0)
+ IF(ISNUMBER(SEARCH("YES - S", F13)), 25, 0)
+ IF(ISNUMBER(SEARCH("YES - C", F13)), 60, 0)
+ IF(ISNUMBER(SEARCH("YES", G13)), 8,0)
+ IF(ISNUMBER(SEARCH("YES", H13)), 10,30 )</f>
        <v>85</v>
      </c>
      <c r="K13">
        <f t="shared" si="2"/>
        <v>12</v>
      </c>
      <c r="L13">
        <f t="shared" si="0"/>
        <v>550</v>
      </c>
      <c r="M13" s="3">
        <f t="shared" si="3"/>
        <v>1.6954545454545453</v>
      </c>
      <c r="N13" s="3">
        <f t="shared" si="4"/>
        <v>0.49770372114931688</v>
      </c>
      <c r="O13" s="3">
        <f t="shared" si="5"/>
        <v>0.31830039525691706</v>
      </c>
      <c r="P13" s="4">
        <f>I13/(0.5*1.225*15*15)</f>
        <v>0.69659863945578226</v>
      </c>
      <c r="Q13" s="4">
        <f>(( -5*1.72)/P13
+IF(ISNUMBER(SEARCH("YES - S",E13)),(100*0.2)/P13,0)
+IF(ISNUMBER(SEARCH("YES - C",E13)),(200*0.2)/P13,0)
+IF(ISNUMBER(SEARCH("YES - S",F13)),100*2.4/P13,0)
+IF(ISNUMBER(SEARCH("YES - C",F13)),180*2.4/P13,0)
+IF(ISNUMBER(SEARCH("YES",G13)),70*1.8/P13,0)
+IF(ISNUMBER(SEARCH("YES",H13)),1*1.9/P13,0))/(0.5*1.225*15*15)</f>
        <v>0.1385416666666667</v>
      </c>
      <c r="R13" s="2">
        <f t="shared" si="1"/>
        <v>-0.51065954231433508</v>
      </c>
      <c r="S13" s="4">
        <f>(IF(ISNUMBER(SEARCH("YES", D13)), 30*0.31/T13, 50*0.31/T13)
+IF(ISNUMBER(SEARCH("YES - S",E13)),(25*0.08)/T13,0)
+IF(ISNUMBER(SEARCH("YES - C",E13)),(30*0.08)/T13,0)
+IF(ISNUMBER(SEARCH("YES - S",F13)),(25*0.85)/T13,0)
+IF(ISNUMBER(SEARCH("YES - C",F13)),(50*0.85)/T13,0)
+IF(ISNUMBER(SEARCH("YES",G13)),(8*0.6)/T13,0)
+IF(ISNUMBER(SEARCH("YES",H13)),(5*0.2)/T13,(10*0.2)/T13))/(0.5*1.225*15*15)</f>
        <v>0.21764705882352942</v>
      </c>
      <c r="T13">
        <f>J13/(0.5*1.225*15*15)</f>
        <v>0.6167800453514739</v>
      </c>
      <c r="U13" s="2">
        <f t="shared" si="6"/>
        <v>-1.0083632634636519</v>
      </c>
    </row>
    <row r="14" spans="1:26" x14ac:dyDescent="0.25">
      <c r="C14">
        <v>12</v>
      </c>
      <c r="D14" t="s">
        <v>17</v>
      </c>
      <c r="E14" t="s">
        <v>20</v>
      </c>
      <c r="F14" t="s">
        <v>20</v>
      </c>
      <c r="G14" t="s">
        <v>17</v>
      </c>
      <c r="H14" t="s">
        <v>17</v>
      </c>
      <c r="I14">
        <f>IF(ISNUMBER(SEARCH("YES", D14)), -5, -5)
+ IF(ISNUMBER(SEARCH("YES - S", E14)), 100, 0)
+ IF(ISNUMBER(SEARCH("YES - C", E14)), 150, 0)
+ IF(ISNUMBER(SEARCH("YES - S", F14)), 100, 0)
+ IF(ISNUMBER(SEARCH("YES - C", F14)), 150, 0)
+ IF(ISNUMBER(SEARCH("YES", G14)), 70, 0)
+ IF(ISNUMBER(SEARCH("YES", H14)), 1, 0)</f>
        <v>295</v>
      </c>
      <c r="J14">
        <f>IF(ISNUMBER(SEARCH("YES", D14)), 30, 50)
+ IF(ISNUMBER(SEARCH("YES - S", E14)), 25, 0)
+ IF(ISNUMBER(SEARCH("YES - C", E14)), 30, 0)
+ IF(ISNUMBER(SEARCH("YES - S", F14)), 25, 0)
+ IF(ISNUMBER(SEARCH("YES - C", F14)), 60, 0)
+ IF(ISNUMBER(SEARCH("YES", G14)), 8,0)
+ IF(ISNUMBER(SEARCH("YES", H14)), 10,30 )</f>
        <v>170</v>
      </c>
      <c r="K14">
        <f t="shared" si="2"/>
        <v>18</v>
      </c>
      <c r="L14">
        <f t="shared" si="0"/>
        <v>1100</v>
      </c>
      <c r="M14" s="3">
        <f t="shared" si="3"/>
        <v>1.6998069498069499</v>
      </c>
      <c r="N14" s="3">
        <f t="shared" si="4"/>
        <v>0.50052263588533019</v>
      </c>
      <c r="O14" s="3">
        <f t="shared" si="5"/>
        <v>0.33926640926640927</v>
      </c>
      <c r="P14" s="4">
        <f>I14/(0.5*1.225*15*15)</f>
        <v>2.1405895691609977</v>
      </c>
      <c r="Q14" s="4">
        <f>(( -5*1.72)/P14
+IF(ISNUMBER(SEARCH("YES - S",E14)),(100*0.2)/P14,0)
+IF(ISNUMBER(SEARCH("YES - C",E14)),(200*0.2)/P14,0)
+IF(ISNUMBER(SEARCH("YES - S",F14)),100*2.4/P14,0)
+IF(ISNUMBER(SEARCH("YES - C",F14)),180*2.4/P14,0)
+IF(ISNUMBER(SEARCH("YES",G14)),70*1.8/P14,0)
+IF(ISNUMBER(SEARCH("YES",H14)),1*1.9/P14,0))/(0.5*1.225*15*15)</f>
        <v>1.5708474576271187</v>
      </c>
      <c r="R14" s="2">
        <f t="shared" si="1"/>
        <v>0.41699964872222711</v>
      </c>
      <c r="S14" s="4">
        <f>(IF(ISNUMBER(SEARCH("YES", D14)), 30*0.31/T14, 50*0.31/T14)
+IF(ISNUMBER(SEARCH("YES - S",E14)),(25*0.08)/T14,0)
+IF(ISNUMBER(SEARCH("YES - C",E14)),(30*0.08)/T14,0)
+IF(ISNUMBER(SEARCH("YES - S",F14)),(25*0.85)/T14,0)
+IF(ISNUMBER(SEARCH("YES - C",F14)),(50*0.85)/T14,0)
+IF(ISNUMBER(SEARCH("YES",G14)),(8*0.6)/T14,0)
+IF(ISNUMBER(SEARCH("YES",H14)),(5*0.2)/T14,(10*0.2)/T14))/(0.5*1.225*15*15)</f>
        <v>0.36705882352941183</v>
      </c>
      <c r="T14">
        <f>J14/(0.5*1.225*15*15)</f>
        <v>1.2335600907029478</v>
      </c>
      <c r="U14" s="2">
        <f t="shared" si="6"/>
        <v>-8.352298716310308E-2</v>
      </c>
    </row>
    <row r="15" spans="1:26" x14ac:dyDescent="0.25">
      <c r="C15">
        <v>13</v>
      </c>
      <c r="D15" t="s">
        <v>17</v>
      </c>
      <c r="E15" t="s">
        <v>20</v>
      </c>
      <c r="F15" t="s">
        <v>19</v>
      </c>
      <c r="G15" t="s">
        <v>17</v>
      </c>
      <c r="H15" t="s">
        <v>17</v>
      </c>
      <c r="I15">
        <f>IF(ISNUMBER(SEARCH("YES", D15)), -5, -5)
+ IF(ISNUMBER(SEARCH("YES - S", E15)), 100, 0)
+ IF(ISNUMBER(SEARCH("YES - C", E15)), 150, 0)
+ IF(ISNUMBER(SEARCH("YES - S", F15)), 100, 0)
+ IF(ISNUMBER(SEARCH("YES - C", F15)), 150, 0)
+ IF(ISNUMBER(SEARCH("YES", G15)), 70, 0)
+ IF(ISNUMBER(SEARCH("YES", H15)), 1, 0)</f>
        <v>245</v>
      </c>
      <c r="J15">
        <f>IF(ISNUMBER(SEARCH("YES", D15)), 30, 50)
+ IF(ISNUMBER(SEARCH("YES - S", E15)), 25, 0)
+ IF(ISNUMBER(SEARCH("YES - C", E15)), 30, 0)
+ IF(ISNUMBER(SEARCH("YES - S", F15)), 25, 0)
+ IF(ISNUMBER(SEARCH("YES - C", F15)), 60, 0)
+ IF(ISNUMBER(SEARCH("YES", G15)), 8,0)
+ IF(ISNUMBER(SEARCH("YES", H15)), 10,30 )</f>
        <v>135</v>
      </c>
      <c r="K15">
        <f t="shared" si="2"/>
        <v>14</v>
      </c>
      <c r="L15">
        <f t="shared" si="0"/>
        <v>800</v>
      </c>
      <c r="M15" s="3">
        <f t="shared" si="3"/>
        <v>1.6888235294117646</v>
      </c>
      <c r="N15" s="3">
        <f t="shared" si="4"/>
        <v>0.49340902163974387</v>
      </c>
      <c r="O15" s="3">
        <f t="shared" si="5"/>
        <v>0.33125490196078433</v>
      </c>
      <c r="P15" s="4">
        <f>I15/(0.5*1.225*15*15)</f>
        <v>1.7777777777777777</v>
      </c>
      <c r="Q15" s="4">
        <f>(( -5*1.72)/P15
+IF(ISNUMBER(SEARCH("YES - S",E15)),(100*0.2)/P15,0)
+IF(ISNUMBER(SEARCH("YES - C",E15)),(200*0.2)/P15,0)
+IF(ISNUMBER(SEARCH("YES - S",F15)),100*2.4/P15,0)
+IF(ISNUMBER(SEARCH("YES - C",F15)),180*2.4/P15,0)
+IF(ISNUMBER(SEARCH("YES",G15)),70*1.8/P15,0)
+IF(ISNUMBER(SEARCH("YES",H15)),1*1.9/P15,0))/(0.5*1.225*15*15)</f>
        <v>1.1077551020408163</v>
      </c>
      <c r="R15" s="2">
        <f t="shared" si="1"/>
        <v>0.11706936660674627</v>
      </c>
      <c r="S15" s="4">
        <f>(IF(ISNUMBER(SEARCH("YES", D15)), 30*0.31/T15, 50*0.31/T15)
+IF(ISNUMBER(SEARCH("YES - S",E15)),(25*0.08)/T15,0)
+IF(ISNUMBER(SEARCH("YES - C",E15)),(30*0.08)/T15,0)
+IF(ISNUMBER(SEARCH("YES - S",F15)),(25*0.85)/T15,0)
+IF(ISNUMBER(SEARCH("YES - C",F15)),(50*0.85)/T15,0)
+IF(ISNUMBER(SEARCH("YES",G15)),(8*0.6)/T15,0)
+IF(ISNUMBER(SEARCH("YES",H15)),(5*0.2)/T15,(10*0.2)/T15))/(0.5*1.225*15*15)</f>
        <v>0.30481481481481482</v>
      </c>
      <c r="T15">
        <f>J15/(0.5*1.225*15*15)</f>
        <v>0.97959183673469385</v>
      </c>
      <c r="U15" s="2">
        <f t="shared" si="6"/>
        <v>-0.3763396550329976</v>
      </c>
    </row>
    <row r="16" spans="1:26" x14ac:dyDescent="0.25">
      <c r="C16">
        <v>14</v>
      </c>
      <c r="D16" t="s">
        <v>17</v>
      </c>
      <c r="E16" t="s">
        <v>20</v>
      </c>
      <c r="F16" t="s">
        <v>17</v>
      </c>
      <c r="G16" t="s">
        <v>16</v>
      </c>
      <c r="H16" t="s">
        <v>17</v>
      </c>
      <c r="I16">
        <f>IF(ISNUMBER(SEARCH("YES", D16)), -5, -5)
+ IF(ISNUMBER(SEARCH("YES - S", E16)), 100, 0)
+ IF(ISNUMBER(SEARCH("YES - C", E16)), 150, 0)
+ IF(ISNUMBER(SEARCH("YES - S", F16)), 100, 0)
+ IF(ISNUMBER(SEARCH("YES - C", F16)), 150, 0)
+ IF(ISNUMBER(SEARCH("YES", G16)), 70, 0)
+ IF(ISNUMBER(SEARCH("YES", H16)), 1, 0)</f>
        <v>215</v>
      </c>
      <c r="J16">
        <f>IF(ISNUMBER(SEARCH("YES", D16)), 30, 50)
+ IF(ISNUMBER(SEARCH("YES - S", E16)), 25, 0)
+ IF(ISNUMBER(SEARCH("YES - C", E16)), 30, 0)
+ IF(ISNUMBER(SEARCH("YES - S", F16)), 25, 0)
+ IF(ISNUMBER(SEARCH("YES - C", F16)), 60, 0)
+ IF(ISNUMBER(SEARCH("YES", G16)), 8,0)
+ IF(ISNUMBER(SEARCH("YES", H16)), 10,30 )</f>
        <v>118</v>
      </c>
      <c r="K16">
        <f t="shared" si="2"/>
        <v>12</v>
      </c>
      <c r="L16">
        <f t="shared" si="0"/>
        <v>950</v>
      </c>
      <c r="M16" s="3">
        <f t="shared" si="3"/>
        <v>1.6737154150197628</v>
      </c>
      <c r="N16" s="3">
        <f t="shared" si="4"/>
        <v>0.48362397345839558</v>
      </c>
      <c r="O16" s="3">
        <f t="shared" si="5"/>
        <v>0.31466403162055334</v>
      </c>
      <c r="P16" s="4">
        <f>I16/(0.5*1.225*15*15)</f>
        <v>1.5600907029478459</v>
      </c>
      <c r="Q16" s="4">
        <f>(( -5*1.72)/P16
+IF(ISNUMBER(SEARCH("YES - S",E16)),(100*0.2)/P16,0)
+IF(ISNUMBER(SEARCH("YES - C",E16)),(200*0.2)/P16,0)
+IF(ISNUMBER(SEARCH("YES - S",F16)),100*2.4/P16,0)
+IF(ISNUMBER(SEARCH("YES - C",F16)),180*2.4/P16,0)
+IF(ISNUMBER(SEARCH("YES",G16)),70*1.8/P16,0)
+IF(ISNUMBER(SEARCH("YES",H16)),1*1.9/P16,0))/(0.5*1.225*15*15)</f>
        <v>0.73209302325581394</v>
      </c>
      <c r="R16" s="2">
        <f t="shared" si="1"/>
        <v>-0.12623508856488738</v>
      </c>
      <c r="S16" s="4">
        <f>(IF(ISNUMBER(SEARCH("YES", D16)), 30*0.31/T16, 50*0.31/T16)
+IF(ISNUMBER(SEARCH("YES - S",E16)),(25*0.08)/T16,0)
+IF(ISNUMBER(SEARCH("YES - C",E16)),(30*0.08)/T16,0)
+IF(ISNUMBER(SEARCH("YES - S",F16)),(25*0.85)/T16,0)
+IF(ISNUMBER(SEARCH("YES - C",F16)),(50*0.85)/T16,0)
+IF(ISNUMBER(SEARCH("YES",G16)),(8*0.6)/T16,0)
+IF(ISNUMBER(SEARCH("YES",H16)),(5*0.2)/T16,(10*0.2)/T16))/(0.5*1.225*15*15)</f>
        <v>0.20932203389830506</v>
      </c>
      <c r="T16">
        <f>J16/(0.5*1.225*15*15)</f>
        <v>0.8562358276643991</v>
      </c>
      <c r="U16" s="2">
        <f t="shared" si="6"/>
        <v>-0.60985906202328299</v>
      </c>
    </row>
    <row r="17" spans="3:21" x14ac:dyDescent="0.25">
      <c r="C17">
        <v>15</v>
      </c>
      <c r="D17" t="s">
        <v>17</v>
      </c>
      <c r="E17" t="s">
        <v>20</v>
      </c>
      <c r="F17" t="s">
        <v>17</v>
      </c>
      <c r="G17" t="s">
        <v>17</v>
      </c>
      <c r="H17" t="s">
        <v>16</v>
      </c>
      <c r="I17">
        <f>IF(ISNUMBER(SEARCH("YES", D17)), -5, -5)
+ IF(ISNUMBER(SEARCH("YES - S", E17)), 100, 0)
+ IF(ISNUMBER(SEARCH("YES - C", E17)), 150, 0)
+ IF(ISNUMBER(SEARCH("YES - S", F17)), 100, 0)
+ IF(ISNUMBER(SEARCH("YES - C", F17)), 150, 0)
+ IF(ISNUMBER(SEARCH("YES", G17)), 70, 0)
+ IF(ISNUMBER(SEARCH("YES", H17)), 1, 0)</f>
        <v>146</v>
      </c>
      <c r="J17">
        <f>IF(ISNUMBER(SEARCH("YES", D17)), 30, 50)
+ IF(ISNUMBER(SEARCH("YES - S", E17)), 25, 0)
+ IF(ISNUMBER(SEARCH("YES - C", E17)), 30, 0)
+ IF(ISNUMBER(SEARCH("YES - S", F17)), 25, 0)
+ IF(ISNUMBER(SEARCH("YES - C", F17)), 60, 0)
+ IF(ISNUMBER(SEARCH("YES", G17)), 8,0)
+ IF(ISNUMBER(SEARCH("YES", H17)), 10,30 )</f>
        <v>90</v>
      </c>
      <c r="K17">
        <f t="shared" si="2"/>
        <v>15</v>
      </c>
      <c r="L17">
        <f t="shared" si="0"/>
        <v>850</v>
      </c>
      <c r="M17" s="3">
        <f t="shared" si="3"/>
        <v>1.6779296875</v>
      </c>
      <c r="N17" s="3">
        <f t="shared" si="4"/>
        <v>0.48635342454663211</v>
      </c>
      <c r="O17" s="3">
        <f t="shared" si="5"/>
        <v>0.31550781250000004</v>
      </c>
      <c r="P17" s="4">
        <f>I17/(0.5*1.225*15*15)</f>
        <v>1.0594104308390022</v>
      </c>
      <c r="Q17" s="4">
        <f>(( -5*1.72)/P17
+IF(ISNUMBER(SEARCH("YES - S",E17)),(100*0.2)/P17,0)
+IF(ISNUMBER(SEARCH("YES - C",E17)),(200*0.2)/P17,0)
+IF(ISNUMBER(SEARCH("YES - S",F17)),100*2.4/P17,0)
+IF(ISNUMBER(SEARCH("YES - C",F17)),180*2.4/P17,0)
+IF(ISNUMBER(SEARCH("YES",G17)),70*1.8/P17,0)
+IF(ISNUMBER(SEARCH("YES",H17)),1*1.9/P17,0))/(0.5*1.225*15*15)</f>
        <v>0.22808219178082192</v>
      </c>
      <c r="R17" s="2">
        <f t="shared" si="1"/>
        <v>-0.45266697423521901</v>
      </c>
      <c r="S17" s="4">
        <f>(IF(ISNUMBER(SEARCH("YES", D17)), 30*0.31/T17, 50*0.31/T17)
+IF(ISNUMBER(SEARCH("YES - S",E17)),(25*0.08)/T17,0)
+IF(ISNUMBER(SEARCH("YES - C",E17)),(30*0.08)/T17,0)
+IF(ISNUMBER(SEARCH("YES - S",F17)),(25*0.85)/T17,0)
+IF(ISNUMBER(SEARCH("YES - C",F17)),(50*0.85)/T17,0)
+IF(ISNUMBER(SEARCH("YES",G17)),(8*0.6)/T17,0)
+IF(ISNUMBER(SEARCH("YES",H17)),(5*0.2)/T17,(10*0.2)/T17))/(0.5*1.225*15*15)</f>
        <v>0.21000000000000002</v>
      </c>
      <c r="T17">
        <f>J17/(0.5*1.225*15*15)</f>
        <v>0.65306122448979587</v>
      </c>
      <c r="U17" s="2">
        <f t="shared" si="6"/>
        <v>-0.93902039878185106</v>
      </c>
    </row>
    <row r="18" spans="3:21" x14ac:dyDescent="0.25">
      <c r="C18">
        <v>16</v>
      </c>
      <c r="D18" t="s">
        <v>17</v>
      </c>
      <c r="E18" t="s">
        <v>17</v>
      </c>
      <c r="F18" t="s">
        <v>19</v>
      </c>
      <c r="G18" t="s">
        <v>16</v>
      </c>
      <c r="H18" t="s">
        <v>17</v>
      </c>
      <c r="I18">
        <f>IF(ISNUMBER(SEARCH("YES", D18)), -5, -5)
+ IF(ISNUMBER(SEARCH("YES - S", E18)), 100, 0)
+ IF(ISNUMBER(SEARCH("YES - C", E18)), 150, 0)
+ IF(ISNUMBER(SEARCH("YES - S", F18)), 100, 0)
+ IF(ISNUMBER(SEARCH("YES - C", F18)), 150, 0)
+ IF(ISNUMBER(SEARCH("YES", G18)), 70, 0)
+ IF(ISNUMBER(SEARCH("YES", H18)), 1, 0)</f>
        <v>165</v>
      </c>
      <c r="J18">
        <f>IF(ISNUMBER(SEARCH("YES", D18)), 30, 50)
+ IF(ISNUMBER(SEARCH("YES - S", E18)), 25, 0)
+ IF(ISNUMBER(SEARCH("YES - C", E18)), 30, 0)
+ IF(ISNUMBER(SEARCH("YES - S", F18)), 25, 0)
+ IF(ISNUMBER(SEARCH("YES - C", F18)), 60, 0)
+ IF(ISNUMBER(SEARCH("YES", G18)), 8,0)
+ IF(ISNUMBER(SEARCH("YES", H18)), 10,30 )</f>
        <v>113</v>
      </c>
      <c r="K18">
        <f t="shared" si="2"/>
        <v>10</v>
      </c>
      <c r="L18">
        <f t="shared" si="0"/>
        <v>650</v>
      </c>
      <c r="M18" s="3">
        <f t="shared" si="3"/>
        <v>1.73804780876494</v>
      </c>
      <c r="N18" s="3">
        <f t="shared" si="4"/>
        <v>0.52529003158351029</v>
      </c>
      <c r="O18" s="3">
        <f t="shared" si="5"/>
        <v>0.33494023904382469</v>
      </c>
      <c r="P18" s="4">
        <f>I18/(0.5*1.225*15*15)</f>
        <v>1.1972789115646258</v>
      </c>
      <c r="Q18" s="4">
        <f>(( -5*1.72)/P18
+IF(ISNUMBER(SEARCH("YES - S",E18)),(100*0.2)/P18,0)
+IF(ISNUMBER(SEARCH("YES - C",E18)),(200*0.2)/P18,0)
+IF(ISNUMBER(SEARCH("YES - S",F18)),100*2.4/P18,0)
+IF(ISNUMBER(SEARCH("YES - C",F18)),180*2.4/P18,0)
+IF(ISNUMBER(SEARCH("YES",G18)),70*1.8/P18,0)
+IF(ISNUMBER(SEARCH("YES",H18)),1*1.9/P18,0))/(0.5*1.225*15*15)</f>
        <v>2.166060606060606</v>
      </c>
      <c r="R18" s="2">
        <f t="shared" si="1"/>
        <v>0.80250039252629923</v>
      </c>
      <c r="S18" s="4">
        <f>(IF(ISNUMBER(SEARCH("YES", D18)), 30*0.31/T18, 50*0.31/T18)
+IF(ISNUMBER(SEARCH("YES - S",E18)),(25*0.08)/T18,0)
+IF(ISNUMBER(SEARCH("YES - C",E18)),(30*0.08)/T18,0)
+IF(ISNUMBER(SEARCH("YES - S",F18)),(25*0.85)/T18,0)
+IF(ISNUMBER(SEARCH("YES - C",F18)),(50*0.85)/T18,0)
+IF(ISNUMBER(SEARCH("YES",G18)),(8*0.6)/T18,0)
+IF(ISNUMBER(SEARCH("YES",H18)),(5*0.2)/T18,(10*0.2)/T18))/(0.5*1.225*15*15)</f>
        <v>0.38539823008849561</v>
      </c>
      <c r="T18">
        <f>J18/(0.5*1.225*15*15)</f>
        <v>0.81995464852607713</v>
      </c>
      <c r="U18" s="2">
        <f t="shared" si="6"/>
        <v>0.27721036094278895</v>
      </c>
    </row>
    <row r="19" spans="3:21" x14ac:dyDescent="0.25">
      <c r="C19">
        <v>17</v>
      </c>
      <c r="D19" t="s">
        <v>17</v>
      </c>
      <c r="E19" t="s">
        <v>17</v>
      </c>
      <c r="F19" t="s">
        <v>19</v>
      </c>
      <c r="G19" t="s">
        <v>17</v>
      </c>
      <c r="H19" t="s">
        <v>16</v>
      </c>
      <c r="I19">
        <f>IF(ISNUMBER(SEARCH("YES", D19)), -5, -5)
+ IF(ISNUMBER(SEARCH("YES - S", E19)), 100, 0)
+ IF(ISNUMBER(SEARCH("YES - C", E19)), 150, 0)
+ IF(ISNUMBER(SEARCH("YES - S", F19)), 100, 0)
+ IF(ISNUMBER(SEARCH("YES - C", F19)), 150, 0)
+ IF(ISNUMBER(SEARCH("YES", G19)), 70, 0)
+ IF(ISNUMBER(SEARCH("YES", H19)), 1, 0)</f>
        <v>96</v>
      </c>
      <c r="J19">
        <f>IF(ISNUMBER(SEARCH("YES", D19)), 30, 50)
+ IF(ISNUMBER(SEARCH("YES - S", E19)), 25, 0)
+ IF(ISNUMBER(SEARCH("YES - C", E19)), 30, 0)
+ IF(ISNUMBER(SEARCH("YES - S", F19)), 25, 0)
+ IF(ISNUMBER(SEARCH("YES - C", F19)), 60, 0)
+ IF(ISNUMBER(SEARCH("YES", G19)), 8,0)
+ IF(ISNUMBER(SEARCH("YES", H19)), 10,30 )</f>
        <v>85</v>
      </c>
      <c r="K19">
        <f t="shared" si="2"/>
        <v>13</v>
      </c>
      <c r="L19">
        <f t="shared" si="0"/>
        <v>550</v>
      </c>
      <c r="M19" s="3">
        <f t="shared" si="3"/>
        <v>1.7415354330708661</v>
      </c>
      <c r="N19" s="3">
        <f t="shared" si="4"/>
        <v>0.52754885561584586</v>
      </c>
      <c r="O19" s="3">
        <f t="shared" si="5"/>
        <v>0.33555118110236221</v>
      </c>
      <c r="P19" s="4">
        <f>I19/(0.5*1.225*15*15)</f>
        <v>0.69659863945578226</v>
      </c>
      <c r="Q19" s="4">
        <f>(( -5*1.72)/P19
+IF(ISNUMBER(SEARCH("YES - S",E19)),(100*0.2)/P19,0)
+IF(ISNUMBER(SEARCH("YES - C",E19)),(200*0.2)/P19,0)
+IF(ISNUMBER(SEARCH("YES - S",F19)),100*2.4/P19,0)
+IF(ISNUMBER(SEARCH("YES - C",F19)),180*2.4/P19,0)
+IF(ISNUMBER(SEARCH("YES",G19)),70*1.8/P19,0)
+IF(ISNUMBER(SEARCH("YES",H19)),1*1.9/P19,0))/(0.5*1.225*15*15)</f>
        <v>2.4302083333333333</v>
      </c>
      <c r="R19" s="2">
        <f t="shared" si="1"/>
        <v>0.9735805267702935</v>
      </c>
      <c r="S19" s="4">
        <f>(IF(ISNUMBER(SEARCH("YES", D19)), 30*0.31/T19, 50*0.31/T19)
+IF(ISNUMBER(SEARCH("YES - S",E19)),(25*0.08)/T19,0)
+IF(ISNUMBER(SEARCH("YES - C",E19)),(30*0.08)/T19,0)
+IF(ISNUMBER(SEARCH("YES - S",F19)),(25*0.85)/T19,0)
+IF(ISNUMBER(SEARCH("YES - C",F19)),(50*0.85)/T19,0)
+IF(ISNUMBER(SEARCH("YES",G19)),(8*0.6)/T19,0)
+IF(ISNUMBER(SEARCH("YES",H19)),(5*0.2)/T19,(10*0.2)/T19))/(0.5*1.225*15*15)</f>
        <v>0.44411764705882356</v>
      </c>
      <c r="T19">
        <f>J19/(0.5*1.225*15*15)</f>
        <v>0.6167800453514739</v>
      </c>
      <c r="U19" s="2">
        <f t="shared" si="6"/>
        <v>0.44603167115444764</v>
      </c>
    </row>
    <row r="20" spans="3:21" x14ac:dyDescent="0.25">
      <c r="C20">
        <v>18</v>
      </c>
      <c r="D20" t="s">
        <v>17</v>
      </c>
      <c r="E20" t="s">
        <v>17</v>
      </c>
      <c r="F20" t="s">
        <v>20</v>
      </c>
      <c r="G20" t="s">
        <v>16</v>
      </c>
      <c r="H20" t="s">
        <v>17</v>
      </c>
      <c r="I20">
        <f>IF(ISNUMBER(SEARCH("YES", D20)), -5, -5)
+ IF(ISNUMBER(SEARCH("YES - S", E20)), 100, 0)
+ IF(ISNUMBER(SEARCH("YES - C", E20)), 150, 0)
+ IF(ISNUMBER(SEARCH("YES - S", F20)), 100, 0)
+ IF(ISNUMBER(SEARCH("YES - C", F20)), 150, 0)
+ IF(ISNUMBER(SEARCH("YES", G20)), 70, 0)
+ IF(ISNUMBER(SEARCH("YES", H20)), 1, 0)</f>
        <v>215</v>
      </c>
      <c r="J20">
        <f>IF(ISNUMBER(SEARCH("YES", D20)), 30, 50)
+ IF(ISNUMBER(SEARCH("YES - S", E20)), 25, 0)
+ IF(ISNUMBER(SEARCH("YES - C", E20)), 30, 0)
+ IF(ISNUMBER(SEARCH("YES - S", F20)), 25, 0)
+ IF(ISNUMBER(SEARCH("YES - C", F20)), 60, 0)
+ IF(ISNUMBER(SEARCH("YES", G20)), 8,0)
+ IF(ISNUMBER(SEARCH("YES", H20)), 10,30 )</f>
        <v>148</v>
      </c>
      <c r="K20">
        <f t="shared" si="2"/>
        <v>14</v>
      </c>
      <c r="L20">
        <f t="shared" si="0"/>
        <v>950</v>
      </c>
      <c r="M20" s="3">
        <f t="shared" si="3"/>
        <v>1.7484313725490195</v>
      </c>
      <c r="N20" s="3">
        <f t="shared" si="4"/>
        <v>0.53201513766128206</v>
      </c>
      <c r="O20" s="3">
        <f t="shared" si="5"/>
        <v>0.34301960784313723</v>
      </c>
      <c r="P20" s="4">
        <f>I20/(0.5*1.225*15*15)</f>
        <v>1.5600907029478459</v>
      </c>
      <c r="Q20" s="4">
        <f>(( -5*1.72)/P20
+IF(ISNUMBER(SEARCH("YES - S",E20)),(100*0.2)/P20,0)
+IF(ISNUMBER(SEARCH("YES - C",E20)),(200*0.2)/P20,0)
+IF(ISNUMBER(SEARCH("YES - S",F20)),100*2.4/P20,0)
+IF(ISNUMBER(SEARCH("YES - C",F20)),180*2.4/P20,0)
+IF(ISNUMBER(SEARCH("YES",G20)),70*1.8/P20,0)
+IF(ISNUMBER(SEARCH("YES",H20)),1*1.9/P20,0))/(0.5*1.225*15*15)</f>
        <v>2.5553488372093018</v>
      </c>
      <c r="R20" s="2">
        <f t="shared" si="1"/>
        <v>1.0546300759127603</v>
      </c>
      <c r="S20" s="4">
        <f>(IF(ISNUMBER(SEARCH("YES", D20)), 30*0.31/T20, 50*0.31/T20)
+IF(ISNUMBER(SEARCH("YES - S",E20)),(25*0.08)/T20,0)
+IF(ISNUMBER(SEARCH("YES - C",E20)),(30*0.08)/T20,0)
+IF(ISNUMBER(SEARCH("YES - S",F20)),(25*0.85)/T20,0)
+IF(ISNUMBER(SEARCH("YES - C",F20)),(50*0.85)/T20,0)
+IF(ISNUMBER(SEARCH("YES",G20)),(8*0.6)/T20,0)
+IF(ISNUMBER(SEARCH("YES",H20)),(5*0.2)/T20,(10*0.2)/T20))/(0.5*1.225*15*15)</f>
        <v>0.43783783783783786</v>
      </c>
      <c r="T20">
        <f>J20/(0.5*1.225*15*15)</f>
        <v>1.0739229024943311</v>
      </c>
      <c r="U20" s="2">
        <f t="shared" si="6"/>
        <v>0.5226149382514782</v>
      </c>
    </row>
    <row r="21" spans="3:21" x14ac:dyDescent="0.25">
      <c r="C21">
        <v>19</v>
      </c>
      <c r="D21" t="s">
        <v>17</v>
      </c>
      <c r="E21" t="s">
        <v>17</v>
      </c>
      <c r="F21" t="s">
        <v>20</v>
      </c>
      <c r="G21" t="s">
        <v>17</v>
      </c>
      <c r="H21" t="s">
        <v>16</v>
      </c>
      <c r="I21">
        <f>IF(ISNUMBER(SEARCH("YES", D21)), -5, -5)
+ IF(ISNUMBER(SEARCH("YES - S", E21)), 100, 0)
+ IF(ISNUMBER(SEARCH("YES - C", E21)), 150, 0)
+ IF(ISNUMBER(SEARCH("YES - S", F21)), 100, 0)
+ IF(ISNUMBER(SEARCH("YES - C", F21)), 150, 0)
+ IF(ISNUMBER(SEARCH("YES", G21)), 70, 0)
+ IF(ISNUMBER(SEARCH("YES", H21)), 1, 0)</f>
        <v>146</v>
      </c>
      <c r="J21">
        <f>IF(ISNUMBER(SEARCH("YES", D21)), 30, 50)
+ IF(ISNUMBER(SEARCH("YES - S", E21)), 25, 0)
+ IF(ISNUMBER(SEARCH("YES - C", E21)), 30, 0)
+ IF(ISNUMBER(SEARCH("YES - S", F21)), 25, 0)
+ IF(ISNUMBER(SEARCH("YES - C", F21)), 60, 0)
+ IF(ISNUMBER(SEARCH("YES", G21)), 8,0)
+ IF(ISNUMBER(SEARCH("YES", H21)), 10,30 )</f>
        <v>120</v>
      </c>
      <c r="K21">
        <f t="shared" si="2"/>
        <v>17</v>
      </c>
      <c r="L21">
        <f t="shared" si="0"/>
        <v>850</v>
      </c>
      <c r="M21" s="3">
        <f t="shared" si="3"/>
        <v>1.7517441860465115</v>
      </c>
      <c r="N21" s="3">
        <f t="shared" si="4"/>
        <v>0.53416074225810328</v>
      </c>
      <c r="O21" s="3">
        <f t="shared" si="5"/>
        <v>0.34352713178294575</v>
      </c>
      <c r="P21" s="4">
        <f>I21/(0.5*1.225*15*15)</f>
        <v>1.0594104308390022</v>
      </c>
      <c r="Q21" s="4">
        <f>(( -5*1.72)/P21
+IF(ISNUMBER(SEARCH("YES - S",E21)),(100*0.2)/P21,0)
+IF(ISNUMBER(SEARCH("YES - C",E21)),(200*0.2)/P21,0)
+IF(ISNUMBER(SEARCH("YES - S",F21)),100*2.4/P21,0)
+IF(ISNUMBER(SEARCH("YES - C",F21)),180*2.4/P21,0)
+IF(ISNUMBER(SEARCH("YES",G21)),70*1.8/P21,0)
+IF(ISNUMBER(SEARCH("YES",H21)),1*1.9/P21,0))/(0.5*1.225*15*15)</f>
        <v>2.9130136986301371</v>
      </c>
      <c r="R21" s="2">
        <f t="shared" si="1"/>
        <v>1.2862783022215913</v>
      </c>
      <c r="S21" s="4">
        <f>(IF(ISNUMBER(SEARCH("YES", D21)), 30*0.31/T21, 50*0.31/T21)
+IF(ISNUMBER(SEARCH("YES - S",E21)),(25*0.08)/T21,0)
+IF(ISNUMBER(SEARCH("YES - C",E21)),(30*0.08)/T21,0)
+IF(ISNUMBER(SEARCH("YES - S",F21)),(25*0.85)/T21,0)
+IF(ISNUMBER(SEARCH("YES - C",F21)),(50*0.85)/T21,0)
+IF(ISNUMBER(SEARCH("YES",G21)),(8*0.6)/T21,0)
+IF(ISNUMBER(SEARCH("YES",H21)),(5*0.2)/T21,(10*0.2)/T21))/(0.5*1.225*15*15)</f>
        <v>0.49166666666666664</v>
      </c>
      <c r="T21">
        <f>J21/(0.5*1.225*15*15)</f>
        <v>0.87074829931972786</v>
      </c>
      <c r="U21" s="2">
        <f t="shared" si="6"/>
        <v>0.75211755996348806</v>
      </c>
    </row>
    <row r="22" spans="3:21" x14ac:dyDescent="0.25">
      <c r="C22">
        <v>20</v>
      </c>
      <c r="D22" t="s">
        <v>17</v>
      </c>
      <c r="E22" t="s">
        <v>17</v>
      </c>
      <c r="F22" t="s">
        <v>17</v>
      </c>
      <c r="G22" t="s">
        <v>16</v>
      </c>
      <c r="H22" t="s">
        <v>16</v>
      </c>
      <c r="I22">
        <f>IF(ISNUMBER(SEARCH("YES", D22)), -5, -5)
+ IF(ISNUMBER(SEARCH("YES - S", E22)), 100, 0)
+ IF(ISNUMBER(SEARCH("YES - C", E22)), 150, 0)
+ IF(ISNUMBER(SEARCH("YES - S", F22)), 100, 0)
+ IF(ISNUMBER(SEARCH("YES - C", F22)), 150, 0)
+ IF(ISNUMBER(SEARCH("YES", G22)), 70, 0)
+ IF(ISNUMBER(SEARCH("YES", H22)), 1, 0)</f>
        <v>66</v>
      </c>
      <c r="J22">
        <f>IF(ISNUMBER(SEARCH("YES", D22)), 30, 50)
+ IF(ISNUMBER(SEARCH("YES - S", E22)), 25, 0)
+ IF(ISNUMBER(SEARCH("YES - C", E22)), 30, 0)
+ IF(ISNUMBER(SEARCH("YES - S", F22)), 25, 0)
+ IF(ISNUMBER(SEARCH("YES - C", F22)), 60, 0)
+ IF(ISNUMBER(SEARCH("YES", G22)), 8,0)
+ IF(ISNUMBER(SEARCH("YES", H22)), 10,30 )</f>
        <v>68</v>
      </c>
      <c r="K22">
        <f t="shared" si="2"/>
        <v>11</v>
      </c>
      <c r="L22">
        <f t="shared" si="0"/>
        <v>700</v>
      </c>
      <c r="M22" s="3">
        <f t="shared" si="3"/>
        <v>1.7267857142857141</v>
      </c>
      <c r="N22" s="3">
        <f t="shared" si="4"/>
        <v>0.51799592894152469</v>
      </c>
      <c r="O22" s="3">
        <f t="shared" si="5"/>
        <v>0.31892857142857145</v>
      </c>
      <c r="P22" s="4">
        <f>I22/(0.5*1.225*15*15)</f>
        <v>0.47891156462585033</v>
      </c>
      <c r="Q22" s="4">
        <f>(( -5*1.72)/P22
+IF(ISNUMBER(SEARCH("YES - S",E22)),(100*0.2)/P22,0)
+IF(ISNUMBER(SEARCH("YES - C",E22)),(200*0.2)/P22,0)
+IF(ISNUMBER(SEARCH("YES - S",F22)),100*2.4/P22,0)
+IF(ISNUMBER(SEARCH("YES - C",F22)),180*2.4/P22,0)
+IF(ISNUMBER(SEARCH("YES",G22)),70*1.8/P22,0)
+IF(ISNUMBER(SEARCH("YES",H22)),1*1.9/P22,0))/(0.5*1.225*15*15)</f>
        <v>1.8075757575757576</v>
      </c>
      <c r="R22" s="2">
        <f t="shared" si="1"/>
        <v>0.57032108651279634</v>
      </c>
      <c r="S22" s="4">
        <f>(IF(ISNUMBER(SEARCH("YES", D22)), 30*0.31/T22, 50*0.31/T22)
+IF(ISNUMBER(SEARCH("YES - S",E22)),(25*0.08)/T22,0)
+IF(ISNUMBER(SEARCH("YES - C",E22)),(30*0.08)/T22,0)
+IF(ISNUMBER(SEARCH("YES - S",F22)),(25*0.85)/T22,0)
+IF(ISNUMBER(SEARCH("YES - C",F22)),(50*0.85)/T22,0)
+IF(ISNUMBER(SEARCH("YES",G22)),(8*0.6)/T22,0)
+IF(ISNUMBER(SEARCH("YES",H22)),(5*0.2)/T22,(10*0.2)/T22))/(0.5*1.225*15*15)</f>
        <v>0.31323529411764706</v>
      </c>
      <c r="T22">
        <f>J22/(0.5*1.225*15*15)</f>
        <v>0.49342403628117915</v>
      </c>
      <c r="U22" s="2">
        <f t="shared" si="6"/>
        <v>5.2325157571271652E-2</v>
      </c>
    </row>
    <row r="23" spans="3:21" x14ac:dyDescent="0.25">
      <c r="C23">
        <v>21</v>
      </c>
      <c r="D23" t="s">
        <v>17</v>
      </c>
      <c r="E23" t="s">
        <v>19</v>
      </c>
      <c r="F23" t="s">
        <v>19</v>
      </c>
      <c r="G23" t="s">
        <v>16</v>
      </c>
      <c r="H23" t="s">
        <v>17</v>
      </c>
      <c r="I23">
        <f>IF(ISNUMBER(SEARCH("YES", D23)), -5, -5)
+ IF(ISNUMBER(SEARCH("YES - S", E23)), 100, 0)
+ IF(ISNUMBER(SEARCH("YES - C", E23)), 150, 0)
+ IF(ISNUMBER(SEARCH("YES - S", F23)), 100, 0)
+ IF(ISNUMBER(SEARCH("YES - C", F23)), 150, 0)
+ IF(ISNUMBER(SEARCH("YES", G23)), 70, 0)
+ IF(ISNUMBER(SEARCH("YES", H23)), 1, 0)</f>
        <v>265</v>
      </c>
      <c r="J23">
        <f>IF(ISNUMBER(SEARCH("YES", D23)), 30, 50)
+ IF(ISNUMBER(SEARCH("YES - S", E23)), 25, 0)
+ IF(ISNUMBER(SEARCH("YES - C", E23)), 30, 0)
+ IF(ISNUMBER(SEARCH("YES - S", F23)), 25, 0)
+ IF(ISNUMBER(SEARCH("YES - C", F23)), 60, 0)
+ IF(ISNUMBER(SEARCH("YES", G23)), 8,0)
+ IF(ISNUMBER(SEARCH("YES", H23)), 10,30 )</f>
        <v>138</v>
      </c>
      <c r="K23">
        <f t="shared" si="2"/>
        <v>15</v>
      </c>
      <c r="L23">
        <f t="shared" si="0"/>
        <v>900</v>
      </c>
      <c r="M23" s="3">
        <f t="shared" si="3"/>
        <v>1.7080078124999998</v>
      </c>
      <c r="N23" s="3">
        <f t="shared" si="4"/>
        <v>0.50583407545336767</v>
      </c>
      <c r="O23" s="3">
        <f t="shared" si="5"/>
        <v>0.3299609375</v>
      </c>
      <c r="P23" s="4">
        <f>I23/(0.5*1.225*15*15)</f>
        <v>1.9229024943310657</v>
      </c>
      <c r="Q23" s="4">
        <f>(( -5*1.72)/P23
+IF(ISNUMBER(SEARCH("YES - S",E23)),(100*0.2)/P23,0)
+IF(ISNUMBER(SEARCH("YES - C",E23)),(200*0.2)/P23,0)
+IF(ISNUMBER(SEARCH("YES - S",F23)),100*2.4/P23,0)
+IF(ISNUMBER(SEARCH("YES - C",F23)),180*2.4/P23,0)
+IF(ISNUMBER(SEARCH("YES",G23)),70*1.8/P23,0)
+IF(ISNUMBER(SEARCH("YES",H23)),1*1.9/P23,0))/(0.5*1.225*15*15)</f>
        <v>1.4241509433962263</v>
      </c>
      <c r="R23" s="2">
        <f t="shared" si="1"/>
        <v>0.32198895297683044</v>
      </c>
      <c r="S23" s="4">
        <f>(IF(ISNUMBER(SEARCH("YES", D23)), 30*0.31/T23, 50*0.31/T23)
+IF(ISNUMBER(SEARCH("YES - S",E23)),(25*0.08)/T23,0)
+IF(ISNUMBER(SEARCH("YES - C",E23)),(30*0.08)/T23,0)
+IF(ISNUMBER(SEARCH("YES - S",F23)),(25*0.85)/T23,0)
+IF(ISNUMBER(SEARCH("YES - C",F23)),(50*0.85)/T23,0)
+IF(ISNUMBER(SEARCH("YES",G23)),(8*0.6)/T23,0)
+IF(ISNUMBER(SEARCH("YES",H23)),(5*0.2)/T23,(10*0.2)/T23))/(0.5*1.225*15*15)</f>
        <v>0.33007246376811583</v>
      </c>
      <c r="T23">
        <f>J23/(0.5*1.225*15*15)</f>
        <v>1.0013605442176872</v>
      </c>
      <c r="U23" s="2">
        <f t="shared" si="6"/>
        <v>-0.18384512247653723</v>
      </c>
    </row>
    <row r="24" spans="3:21" x14ac:dyDescent="0.25">
      <c r="C24">
        <v>22</v>
      </c>
      <c r="D24" t="s">
        <v>17</v>
      </c>
      <c r="E24" t="s">
        <v>19</v>
      </c>
      <c r="F24" t="s">
        <v>20</v>
      </c>
      <c r="G24" t="s">
        <v>16</v>
      </c>
      <c r="H24" t="s">
        <v>17</v>
      </c>
      <c r="I24">
        <f>IF(ISNUMBER(SEARCH("YES", D24)), -5, -5)
+ IF(ISNUMBER(SEARCH("YES - S", E24)), 100, 0)
+ IF(ISNUMBER(SEARCH("YES - C", E24)), 150, 0)
+ IF(ISNUMBER(SEARCH("YES - S", F24)), 100, 0)
+ IF(ISNUMBER(SEARCH("YES - C", F24)), 150, 0)
+ IF(ISNUMBER(SEARCH("YES", G24)), 70, 0)
+ IF(ISNUMBER(SEARCH("YES", H24)), 1, 0)</f>
        <v>315</v>
      </c>
      <c r="J24">
        <f>IF(ISNUMBER(SEARCH("YES", D24)), 30, 50)
+ IF(ISNUMBER(SEARCH("YES - S", E24)), 25, 0)
+ IF(ISNUMBER(SEARCH("YES - C", E24)), 30, 0)
+ IF(ISNUMBER(SEARCH("YES - S", F24)), 25, 0)
+ IF(ISNUMBER(SEARCH("YES - C", F24)), 60, 0)
+ IF(ISNUMBER(SEARCH("YES", G24)), 8,0)
+ IF(ISNUMBER(SEARCH("YES", H24)), 10,30 )</f>
        <v>173</v>
      </c>
      <c r="K24">
        <f t="shared" si="2"/>
        <v>19</v>
      </c>
      <c r="L24">
        <f t="shared" si="0"/>
        <v>1200</v>
      </c>
      <c r="M24" s="3">
        <f t="shared" si="3"/>
        <v>1.7186538461538461</v>
      </c>
      <c r="N24" s="3">
        <f t="shared" si="4"/>
        <v>0.5127291749701075</v>
      </c>
      <c r="O24" s="3">
        <f t="shared" si="5"/>
        <v>0.33796153846153848</v>
      </c>
      <c r="P24" s="4">
        <f>I24/(0.5*1.225*15*15)</f>
        <v>2.2857142857142856</v>
      </c>
      <c r="Q24" s="4">
        <f>(( -5*1.72)/P24
+IF(ISNUMBER(SEARCH("YES - S",E24)),(100*0.2)/P24,0)
+IF(ISNUMBER(SEARCH("YES - C",E24)),(200*0.2)/P24,0)
+IF(ISNUMBER(SEARCH("YES - S",F24)),100*2.4/P24,0)
+IF(ISNUMBER(SEARCH("YES - C",F24)),180*2.4/P24,0)
+IF(ISNUMBER(SEARCH("YES",G24)),70*1.8/P24,0)
+IF(ISNUMBER(SEARCH("YES",H24)),1*1.9/P24,0))/(0.5*1.225*15*15)</f>
        <v>1.8076190476190477</v>
      </c>
      <c r="R24" s="2">
        <f t="shared" si="1"/>
        <v>0.57034912410560079</v>
      </c>
      <c r="S24" s="4">
        <f>(IF(ISNUMBER(SEARCH("YES", D24)), 30*0.31/T24, 50*0.31/T24)
+IF(ISNUMBER(SEARCH("YES - S",E24)),(25*0.08)/T24,0)
+IF(ISNUMBER(SEARCH("YES - C",E24)),(30*0.08)/T24,0)
+IF(ISNUMBER(SEARCH("YES - S",F24)),(25*0.85)/T24,0)
+IF(ISNUMBER(SEARCH("YES - C",F24)),(50*0.85)/T24,0)
+IF(ISNUMBER(SEARCH("YES",G24)),(8*0.6)/T24,0)
+IF(ISNUMBER(SEARCH("YES",H24)),(5*0.2)/T24,(10*0.2)/T24))/(0.5*1.225*15*15)</f>
        <v>0.38612716763005778</v>
      </c>
      <c r="T24">
        <f>J24/(0.5*1.225*15*15)</f>
        <v>1.2553287981859411</v>
      </c>
      <c r="U24" s="2">
        <f t="shared" si="6"/>
        <v>5.7619949135493287E-2</v>
      </c>
    </row>
    <row r="25" spans="3:21" x14ac:dyDescent="0.25">
      <c r="C25">
        <v>23</v>
      </c>
      <c r="D25" t="s">
        <v>17</v>
      </c>
      <c r="E25" t="s">
        <v>19</v>
      </c>
      <c r="F25" t="s">
        <v>19</v>
      </c>
      <c r="G25" t="s">
        <v>17</v>
      </c>
      <c r="H25" t="s">
        <v>16</v>
      </c>
      <c r="I25">
        <f>IF(ISNUMBER(SEARCH("YES", D25)), -5, -5)
+ IF(ISNUMBER(SEARCH("YES - S", E25)), 100, 0)
+ IF(ISNUMBER(SEARCH("YES - C", E25)), 150, 0)
+ IF(ISNUMBER(SEARCH("YES - S", F25)), 100, 0)
+ IF(ISNUMBER(SEARCH("YES - C", F25)), 150, 0)
+ IF(ISNUMBER(SEARCH("YES", G25)), 70, 0)
+ IF(ISNUMBER(SEARCH("YES", H25)), 1, 0)</f>
        <v>196</v>
      </c>
      <c r="J25">
        <f>IF(ISNUMBER(SEARCH("YES", D25)), 30, 50)
+ IF(ISNUMBER(SEARCH("YES - S", E25)), 25, 0)
+ IF(ISNUMBER(SEARCH("YES - C", E25)), 30, 0)
+ IF(ISNUMBER(SEARCH("YES - S", F25)), 25, 0)
+ IF(ISNUMBER(SEARCH("YES - C", F25)), 60, 0)
+ IF(ISNUMBER(SEARCH("YES", G25)), 8,0)
+ IF(ISNUMBER(SEARCH("YES", H25)), 10,30 )</f>
        <v>110</v>
      </c>
      <c r="K25">
        <f t="shared" si="2"/>
        <v>18</v>
      </c>
      <c r="L25">
        <f t="shared" si="0"/>
        <v>800</v>
      </c>
      <c r="M25" s="3">
        <f t="shared" si="3"/>
        <v>1.7117760617760616</v>
      </c>
      <c r="N25" s="3">
        <f t="shared" si="4"/>
        <v>0.50827465140936623</v>
      </c>
      <c r="O25" s="3">
        <f t="shared" si="5"/>
        <v>0.33061776061776066</v>
      </c>
      <c r="P25" s="4">
        <f>I25/(0.5*1.225*15*15)</f>
        <v>1.4222222222222223</v>
      </c>
      <c r="Q25" s="4">
        <f>(( -5*1.72)/P25
+IF(ISNUMBER(SEARCH("YES - S",E25)),(100*0.2)/P25,0)
+IF(ISNUMBER(SEARCH("YES - C",E25)),(200*0.2)/P25,0)
+IF(ISNUMBER(SEARCH("YES - S",F25)),100*2.4/P25,0)
+IF(ISNUMBER(SEARCH("YES - C",F25)),180*2.4/P25,0)
+IF(ISNUMBER(SEARCH("YES",G25)),70*1.8/P25,0)
+IF(ISNUMBER(SEARCH("YES",H25)),1*1.9/P25,0))/(0.5*1.225*15*15)</f>
        <v>1.2923469387755102</v>
      </c>
      <c r="R25" s="2">
        <f t="shared" si="1"/>
        <v>0.23662366501004545</v>
      </c>
      <c r="S25" s="4">
        <f>(IF(ISNUMBER(SEARCH("YES", D25)), 30*0.31/T25, 50*0.31/T25)
+IF(ISNUMBER(SEARCH("YES - S",E25)),(25*0.08)/T25,0)
+IF(ISNUMBER(SEARCH("YES - C",E25)),(30*0.08)/T25,0)
+IF(ISNUMBER(SEARCH("YES - S",F25)),(25*0.85)/T25,0)
+IF(ISNUMBER(SEARCH("YES - C",F25)),(50*0.85)/T25,0)
+IF(ISNUMBER(SEARCH("YES",G25)),(8*0.6)/T25,0)
+IF(ISNUMBER(SEARCH("YES",H25)),(5*0.2)/T25,(10*0.2)/T25))/(0.5*1.225*15*15)</f>
        <v>0.36136363636363628</v>
      </c>
      <c r="T25">
        <f>J25/(0.5*1.225*15*15)</f>
        <v>0.79818594104308394</v>
      </c>
      <c r="U25" s="2">
        <f t="shared" si="6"/>
        <v>-0.27165098639932078</v>
      </c>
    </row>
    <row r="26" spans="3:21" x14ac:dyDescent="0.25">
      <c r="C26">
        <v>24</v>
      </c>
      <c r="D26" t="s">
        <v>17</v>
      </c>
      <c r="E26" t="s">
        <v>19</v>
      </c>
      <c r="F26" t="s">
        <v>20</v>
      </c>
      <c r="G26" t="s">
        <v>17</v>
      </c>
      <c r="H26" t="s">
        <v>16</v>
      </c>
      <c r="I26">
        <f>IF(ISNUMBER(SEARCH("YES", D26)), -5, -5)
+ IF(ISNUMBER(SEARCH("YES - S", E26)), 100, 0)
+ IF(ISNUMBER(SEARCH("YES - C", E26)), 150, 0)
+ IF(ISNUMBER(SEARCH("YES - S", F26)), 100, 0)
+ IF(ISNUMBER(SEARCH("YES - C", F26)), 150, 0)
+ IF(ISNUMBER(SEARCH("YES", G26)), 70, 0)
+ IF(ISNUMBER(SEARCH("YES", H26)), 1, 0)</f>
        <v>246</v>
      </c>
      <c r="J26">
        <f>IF(ISNUMBER(SEARCH("YES", D26)), 30, 50)
+ IF(ISNUMBER(SEARCH("YES - S", E26)), 25, 0)
+ IF(ISNUMBER(SEARCH("YES - C", E26)), 30, 0)
+ IF(ISNUMBER(SEARCH("YES - S", F26)), 25, 0)
+ IF(ISNUMBER(SEARCH("YES - C", F26)), 60, 0)
+ IF(ISNUMBER(SEARCH("YES", G26)), 8,0)
+ IF(ISNUMBER(SEARCH("YES", H26)), 10,30 )</f>
        <v>145</v>
      </c>
      <c r="K26">
        <f t="shared" si="2"/>
        <v>22</v>
      </c>
      <c r="L26">
        <f t="shared" si="0"/>
        <v>1100</v>
      </c>
      <c r="M26" s="3">
        <f t="shared" si="3"/>
        <v>1.7222433460076045</v>
      </c>
      <c r="N26" s="3">
        <f t="shared" si="4"/>
        <v>0.51505398057487339</v>
      </c>
      <c r="O26" s="3">
        <f t="shared" si="5"/>
        <v>0.33851711026615977</v>
      </c>
      <c r="P26" s="4">
        <f>I26/(0.5*1.225*15*15)</f>
        <v>1.7850340136054421</v>
      </c>
      <c r="Q26" s="4">
        <f>(( -5*1.72)/P26
+IF(ISNUMBER(SEARCH("YES - S",E26)),(100*0.2)/P26,0)
+IF(ISNUMBER(SEARCH("YES - C",E26)),(200*0.2)/P26,0)
+IF(ISNUMBER(SEARCH("YES - S",F26)),100*2.4/P26,0)
+IF(ISNUMBER(SEARCH("YES - C",F26)),180*2.4/P26,0)
+IF(ISNUMBER(SEARCH("YES",G26)),70*1.8/P26,0)
+IF(ISNUMBER(SEARCH("YES",H26)),1*1.9/P26,0))/(0.5*1.225*15*15)</f>
        <v>1.8101626016260164</v>
      </c>
      <c r="R26" s="2">
        <f t="shared" si="1"/>
        <v>0.57199650364379295</v>
      </c>
      <c r="S26" s="4">
        <f>(IF(ISNUMBER(SEARCH("YES", D26)), 30*0.31/T26, 50*0.31/T26)
+IF(ISNUMBER(SEARCH("YES - S",E26)),(25*0.08)/T26,0)
+IF(ISNUMBER(SEARCH("YES - C",E26)),(30*0.08)/T26,0)
+IF(ISNUMBER(SEARCH("YES - S",F26)),(25*0.85)/T26,0)
+IF(ISNUMBER(SEARCH("YES - C",F26)),(50*0.85)/T26,0)
+IF(ISNUMBER(SEARCH("YES",G26)),(8*0.6)/T26,0)
+IF(ISNUMBER(SEARCH("YES",H26)),(5*0.2)/T26,(10*0.2)/T26))/(0.5*1.225*15*15)</f>
        <v>0.42068965517241386</v>
      </c>
      <c r="T26">
        <f>J26/(0.5*1.225*15*15)</f>
        <v>1.0521541950113378</v>
      </c>
      <c r="U26" s="2">
        <f t="shared" si="6"/>
        <v>5.6942523068919559E-2</v>
      </c>
    </row>
    <row r="27" spans="3:21" x14ac:dyDescent="0.25">
      <c r="C27">
        <v>25</v>
      </c>
      <c r="D27" t="s">
        <v>17</v>
      </c>
      <c r="E27" t="s">
        <v>19</v>
      </c>
      <c r="F27" t="s">
        <v>17</v>
      </c>
      <c r="G27" t="s">
        <v>16</v>
      </c>
      <c r="H27" t="s">
        <v>16</v>
      </c>
      <c r="I27">
        <f>IF(ISNUMBER(SEARCH("YES", D27)), -5, -5)
+ IF(ISNUMBER(SEARCH("YES - S", E27)), 100, 0)
+ IF(ISNUMBER(SEARCH("YES - C", E27)), 150, 0)
+ IF(ISNUMBER(SEARCH("YES - S", F27)), 100, 0)
+ IF(ISNUMBER(SEARCH("YES - C", F27)), 150, 0)
+ IF(ISNUMBER(SEARCH("YES", G27)), 70, 0)
+ IF(ISNUMBER(SEARCH("YES", H27)), 1, 0)</f>
        <v>166</v>
      </c>
      <c r="J27">
        <f>IF(ISNUMBER(SEARCH("YES", D27)), 30, 50)
+ IF(ISNUMBER(SEARCH("YES - S", E27)), 25, 0)
+ IF(ISNUMBER(SEARCH("YES - C", E27)), 30, 0)
+ IF(ISNUMBER(SEARCH("YES - S", F27)), 25, 0)
+ IF(ISNUMBER(SEARCH("YES - C", F27)), 60, 0)
+ IF(ISNUMBER(SEARCH("YES", G27)), 8,0)
+ IF(ISNUMBER(SEARCH("YES", H27)), 10,30 )</f>
        <v>93</v>
      </c>
      <c r="K27">
        <f t="shared" si="2"/>
        <v>16</v>
      </c>
      <c r="L27">
        <f t="shared" si="0"/>
        <v>950</v>
      </c>
      <c r="M27" s="3">
        <f t="shared" si="3"/>
        <v>1.6970817120622568</v>
      </c>
      <c r="N27" s="3">
        <f t="shared" si="4"/>
        <v>0.49875758553254967</v>
      </c>
      <c r="O27" s="3">
        <f t="shared" si="5"/>
        <v>0.31428015564202338</v>
      </c>
      <c r="P27" s="4">
        <f>I27/(0.5*1.225*15*15)</f>
        <v>1.2045351473922903</v>
      </c>
      <c r="Q27" s="4">
        <f>(( -5*1.72)/P27
+IF(ISNUMBER(SEARCH("YES - S",E27)),(100*0.2)/P27,0)
+IF(ISNUMBER(SEARCH("YES - C",E27)),(200*0.2)/P27,0)
+IF(ISNUMBER(SEARCH("YES - S",F27)),100*2.4/P27,0)
+IF(ISNUMBER(SEARCH("YES - C",F27)),180*2.4/P27,0)
+IF(ISNUMBER(SEARCH("YES",G27)),70*1.8/P27,0)
+IF(ISNUMBER(SEARCH("YES",H27)),1*1.9/P27,0))/(0.5*1.225*15*15)</f>
        <v>0.83915662650602396</v>
      </c>
      <c r="R27" s="2">
        <f t="shared" si="1"/>
        <v>-5.6893376615269484E-2</v>
      </c>
      <c r="S27" s="4">
        <f>(IF(ISNUMBER(SEARCH("YES", D27)), 30*0.31/T27, 50*0.31/T27)
+IF(ISNUMBER(SEARCH("YES - S",E27)),(25*0.08)/T27,0)
+IF(ISNUMBER(SEARCH("YES - C",E27)),(30*0.08)/T27,0)
+IF(ISNUMBER(SEARCH("YES - S",F27)),(25*0.85)/T27,0)
+IF(ISNUMBER(SEARCH("YES - C",F27)),(50*0.85)/T27,0)
+IF(ISNUMBER(SEARCH("YES",G27)),(8*0.6)/T27,0)
+IF(ISNUMBER(SEARCH("YES",H27)),(5*0.2)/T27,(10*0.2)/T27))/(0.5*1.225*15*15)</f>
        <v>0.25053763440860216</v>
      </c>
      <c r="T27">
        <f>J27/(0.5*1.225*15*15)</f>
        <v>0.67482993197278907</v>
      </c>
      <c r="U27" s="2">
        <f t="shared" si="6"/>
        <v>-0.55565096214781917</v>
      </c>
    </row>
    <row r="28" spans="3:21" x14ac:dyDescent="0.25">
      <c r="C28">
        <v>26</v>
      </c>
      <c r="D28" t="s">
        <v>17</v>
      </c>
      <c r="E28" t="s">
        <v>20</v>
      </c>
      <c r="F28" t="s">
        <v>19</v>
      </c>
      <c r="G28" t="s">
        <v>16</v>
      </c>
      <c r="H28" t="s">
        <v>17</v>
      </c>
      <c r="I28">
        <f>IF(ISNUMBER(SEARCH("YES", D28)), -5, -5)
+ IF(ISNUMBER(SEARCH("YES - S", E28)), 100, 0)
+ IF(ISNUMBER(SEARCH("YES - C", E28)), 150, 0)
+ IF(ISNUMBER(SEARCH("YES - S", F28)), 100, 0)
+ IF(ISNUMBER(SEARCH("YES - C", F28)), 150, 0)
+ IF(ISNUMBER(SEARCH("YES", G28)), 70, 0)
+ IF(ISNUMBER(SEARCH("YES", H28)), 1, 0)</f>
        <v>315</v>
      </c>
      <c r="J28">
        <f>IF(ISNUMBER(SEARCH("YES", D28)), 30, 50)
+ IF(ISNUMBER(SEARCH("YES - S", E28)), 25, 0)
+ IF(ISNUMBER(SEARCH("YES - C", E28)), 30, 0)
+ IF(ISNUMBER(SEARCH("YES - S", F28)), 25, 0)
+ IF(ISNUMBER(SEARCH("YES - C", F28)), 60, 0)
+ IF(ISNUMBER(SEARCH("YES", G28)), 8,0)
+ IF(ISNUMBER(SEARCH("YES", H28)), 10,30 )</f>
        <v>143</v>
      </c>
      <c r="K28">
        <f t="shared" si="2"/>
        <v>18</v>
      </c>
      <c r="L28">
        <f t="shared" si="0"/>
        <v>1200</v>
      </c>
      <c r="M28" s="3">
        <f t="shared" si="3"/>
        <v>1.6905405405405405</v>
      </c>
      <c r="N28" s="3">
        <f t="shared" si="4"/>
        <v>0.49452107547962459</v>
      </c>
      <c r="O28" s="3">
        <f t="shared" si="5"/>
        <v>0.32706563706563702</v>
      </c>
      <c r="P28" s="4">
        <f>I28/(0.5*1.225*15*15)</f>
        <v>2.2857142857142856</v>
      </c>
      <c r="Q28" s="4">
        <f>(( -5*1.72)/P28
+IF(ISNUMBER(SEARCH("YES - S",E28)),(100*0.2)/P28,0)
+IF(ISNUMBER(SEARCH("YES - C",E28)),(200*0.2)/P28,0)
+IF(ISNUMBER(SEARCH("YES - S",F28)),100*2.4/P28,0)
+IF(ISNUMBER(SEARCH("YES - C",F28)),180*2.4/P28,0)
+IF(ISNUMBER(SEARCH("YES",G28)),70*1.8/P28,0)
+IF(ISNUMBER(SEARCH("YES",H28)),1*1.9/P28,0))/(0.5*1.225*15*15)</f>
        <v>1.2615873015873016</v>
      </c>
      <c r="R28" s="2">
        <f t="shared" si="1"/>
        <v>0.2167016201990295</v>
      </c>
      <c r="S28" s="4">
        <f>(IF(ISNUMBER(SEARCH("YES", D28)), 30*0.31/T28, 50*0.31/T28)
+IF(ISNUMBER(SEARCH("YES - S",E28)),(25*0.08)/T28,0)
+IF(ISNUMBER(SEARCH("YES - C",E28)),(30*0.08)/T28,0)
+IF(ISNUMBER(SEARCH("YES - S",F28)),(25*0.85)/T28,0)
+IF(ISNUMBER(SEARCH("YES - C",F28)),(50*0.85)/T28,0)
+IF(ISNUMBER(SEARCH("YES",G28)),(8*0.6)/T28,0)
+IF(ISNUMBER(SEARCH("YES",H28)),(5*0.2)/T28,(10*0.2)/T28))/(0.5*1.225*15*15)</f>
        <v>0.32132867132867132</v>
      </c>
      <c r="T28">
        <f>J28/(0.5*1.225*15*15)</f>
        <v>1.0376417233560091</v>
      </c>
      <c r="U28" s="2">
        <f t="shared" si="6"/>
        <v>-0.2778194552805951</v>
      </c>
    </row>
    <row r="29" spans="3:21" x14ac:dyDescent="0.25">
      <c r="C29">
        <v>27</v>
      </c>
      <c r="D29" t="s">
        <v>17</v>
      </c>
      <c r="E29" t="s">
        <v>20</v>
      </c>
      <c r="F29" t="s">
        <v>20</v>
      </c>
      <c r="G29" t="s">
        <v>16</v>
      </c>
      <c r="H29" t="s">
        <v>17</v>
      </c>
      <c r="I29">
        <f>IF(ISNUMBER(SEARCH("YES", D29)), -5, -5)
+ IF(ISNUMBER(SEARCH("YES - S", E29)), 100, 0)
+ IF(ISNUMBER(SEARCH("YES - C", E29)), 150, 0)
+ IF(ISNUMBER(SEARCH("YES - S", F29)), 100, 0)
+ IF(ISNUMBER(SEARCH("YES - C", F29)), 150, 0)
+ IF(ISNUMBER(SEARCH("YES", G29)), 70, 0)
+ IF(ISNUMBER(SEARCH("YES", H29)), 1, 0)</f>
        <v>365</v>
      </c>
      <c r="J29">
        <f>IF(ISNUMBER(SEARCH("YES", D29)), 30, 50)
+ IF(ISNUMBER(SEARCH("YES - S", E29)), 25, 0)
+ IF(ISNUMBER(SEARCH("YES - C", E29)), 30, 0)
+ IF(ISNUMBER(SEARCH("YES - S", F29)), 25, 0)
+ IF(ISNUMBER(SEARCH("YES - C", F29)), 60, 0)
+ IF(ISNUMBER(SEARCH("YES", G29)), 8,0)
+ IF(ISNUMBER(SEARCH("YES", H29)), 10,30 )</f>
        <v>178</v>
      </c>
      <c r="K29">
        <f>IF(ISNUMBER(SEARCH("YES", D29)), 0, 0)
+ IF(ISNUMBER(SEARCH("YES - S", E29)), 5, 0)
+ IF(ISNUMBER(SEARCH("YES - C", E29)), 8, 0)
+ IF(ISNUMBER(SEARCH("YES - S", F29)), 6, 0)
+ IF(ISNUMBER(SEARCH("YES - C", F29)), 10, 0)
+ IF(ISNUMBER(SEARCH("YES", G29)), 4, 0)
+ IF(ISNUMBER(SEARCH("YES", H29)), 7, 0)</f>
        <v>22</v>
      </c>
      <c r="L29">
        <f t="shared" si="0"/>
        <v>1500</v>
      </c>
      <c r="M29" s="3">
        <f t="shared" si="3"/>
        <v>1.7013307984790873</v>
      </c>
      <c r="N29" s="3">
        <f t="shared" si="4"/>
        <v>0.50150958450718086</v>
      </c>
      <c r="O29" s="3">
        <f t="shared" si="5"/>
        <v>0.33501901140684409</v>
      </c>
      <c r="P29" s="4">
        <f>I29/(0.5*1.225*15*15)</f>
        <v>2.6485260770975056</v>
      </c>
      <c r="Q29" s="4">
        <f>(( -5*1.72)/P29
+IF(ISNUMBER(SEARCH("YES - S",E29)),(100*0.2)/P29,0)
+IF(ISNUMBER(SEARCH("YES - C",E29)),(200*0.2)/P29,0)
+IF(ISNUMBER(SEARCH("YES - S",F29)),100*2.4/P29,0)
+IF(ISNUMBER(SEARCH("YES - C",F29)),180*2.4/P29,0)
+IF(ISNUMBER(SEARCH("YES",G29)),70*1.8/P29,0)
+IF(ISNUMBER(SEARCH("YES",H29)),1*1.9/P29,0))/(0.5*1.225*15*15)</f>
        <v>1.6147945205479453</v>
      </c>
      <c r="R29" s="2">
        <f t="shared" si="1"/>
        <v>0.44546277237561216</v>
      </c>
      <c r="S29" s="4">
        <f>(IF(ISNUMBER(SEARCH("YES", D29)), 30*0.31/T29, 50*0.31/T29)
+IF(ISNUMBER(SEARCH("YES - S",E29)),(25*0.08)/T29,0)
+IF(ISNUMBER(SEARCH("YES - C",E29)),(30*0.08)/T29,0)
+IF(ISNUMBER(SEARCH("YES - S",F29)),(25*0.85)/T29,0)
+IF(ISNUMBER(SEARCH("YES - C",F29)),(50*0.85)/T29,0)
+IF(ISNUMBER(SEARCH("YES",G29)),(8*0.6)/T29,0)
+IF(ISNUMBER(SEARCH("YES",H29)),(5*0.2)/T29,(10*0.2)/T29))/(0.5*1.225*15*15)</f>
        <v>0.37752808988764042</v>
      </c>
      <c r="T29">
        <f>J29/(0.5*1.225*15*15)</f>
        <v>1.2916099773242631</v>
      </c>
      <c r="U29" s="2">
        <f t="shared" si="6"/>
        <v>-5.6046812131568702E-2</v>
      </c>
    </row>
    <row r="30" spans="3:21" x14ac:dyDescent="0.25">
      <c r="C30">
        <v>28</v>
      </c>
      <c r="D30" t="s">
        <v>17</v>
      </c>
      <c r="E30" t="s">
        <v>20</v>
      </c>
      <c r="F30" t="s">
        <v>19</v>
      </c>
      <c r="G30" t="s">
        <v>17</v>
      </c>
      <c r="H30" t="s">
        <v>16</v>
      </c>
      <c r="I30">
        <f>IF(ISNUMBER(SEARCH("YES", D30)), -5, -5)
+ IF(ISNUMBER(SEARCH("YES - S", E30)), 100, 0)
+ IF(ISNUMBER(SEARCH("YES - C", E30)), 150, 0)
+ IF(ISNUMBER(SEARCH("YES - S", F30)), 100, 0)
+ IF(ISNUMBER(SEARCH("YES - C", F30)), 150, 0)
+ IF(ISNUMBER(SEARCH("YES", G30)), 70, 0)
+ IF(ISNUMBER(SEARCH("YES", H30)), 1, 0)</f>
        <v>246</v>
      </c>
      <c r="J30">
        <f>IF(ISNUMBER(SEARCH("YES", D30)), 30, 50)
+ IF(ISNUMBER(SEARCH("YES - S", E30)), 25, 0)
+ IF(ISNUMBER(SEARCH("YES - C", E30)), 30, 0)
+ IF(ISNUMBER(SEARCH("YES - S", F30)), 25, 0)
+ IF(ISNUMBER(SEARCH("YES - C", F30)), 60, 0)
+ IF(ISNUMBER(SEARCH("YES", G30)), 8,0)
+ IF(ISNUMBER(SEARCH("YES", H30)), 10,30 )</f>
        <v>115</v>
      </c>
      <c r="K30">
        <f t="shared" si="2"/>
        <v>21</v>
      </c>
      <c r="L30">
        <f t="shared" si="0"/>
        <v>1100</v>
      </c>
      <c r="M30" s="3">
        <f t="shared" si="3"/>
        <v>1.6944656488549619</v>
      </c>
      <c r="N30" s="3">
        <f t="shared" si="4"/>
        <v>0.49706324407704783</v>
      </c>
      <c r="O30" s="3">
        <f t="shared" si="5"/>
        <v>0.32774809160305346</v>
      </c>
      <c r="P30" s="4">
        <f>I30/(0.5*1.225*15*15)</f>
        <v>1.7850340136054421</v>
      </c>
      <c r="Q30" s="4">
        <f>(( -5*1.72)/P30
+IF(ISNUMBER(SEARCH("YES - S",E30)),(100*0.2)/P30,0)
+IF(ISNUMBER(SEARCH("YES - C",E30)),(200*0.2)/P30,0)
+IF(ISNUMBER(SEARCH("YES - S",F30)),100*2.4/P30,0)
+IF(ISNUMBER(SEARCH("YES - C",F30)),180*2.4/P30,0)
+IF(ISNUMBER(SEARCH("YES",G30)),70*1.8/P30,0)
+IF(ISNUMBER(SEARCH("YES",H30)),1*1.9/P30,0))/(0.5*1.225*15*15)</f>
        <v>1.1109756097560979</v>
      </c>
      <c r="R30" s="2">
        <f t="shared" si="1"/>
        <v>0.11915518766586647</v>
      </c>
      <c r="S30" s="4">
        <f>(IF(ISNUMBER(SEARCH("YES", D30)), 30*0.31/T30, 50*0.31/T30)
+IF(ISNUMBER(SEARCH("YES - S",E30)),(25*0.08)/T30,0)
+IF(ISNUMBER(SEARCH("YES - C",E30)),(30*0.08)/T30,0)
+IF(ISNUMBER(SEARCH("YES - S",F30)),(25*0.85)/T30,0)
+IF(ISNUMBER(SEARCH("YES - C",F30)),(50*0.85)/T30,0)
+IF(ISNUMBER(SEARCH("YES",G30)),(8*0.6)/T30,0)
+IF(ISNUMBER(SEARCH("YES",H30)),(5*0.2)/T30,(10*0.2)/T30))/(0.5*1.225*15*15)</f>
        <v>0.34913043478260869</v>
      </c>
      <c r="T30">
        <f>J30/(0.5*1.225*15*15)</f>
        <v>0.8344671201814059</v>
      </c>
      <c r="U30" s="2">
        <f t="shared" si="6"/>
        <v>-0.37790805641118136</v>
      </c>
    </row>
    <row r="31" spans="3:21" x14ac:dyDescent="0.25">
      <c r="C31">
        <v>29</v>
      </c>
      <c r="D31" t="s">
        <v>17</v>
      </c>
      <c r="E31" t="s">
        <v>20</v>
      </c>
      <c r="F31" t="s">
        <v>20</v>
      </c>
      <c r="G31" t="s">
        <v>17</v>
      </c>
      <c r="H31" t="s">
        <v>16</v>
      </c>
      <c r="I31">
        <f>IF(ISNUMBER(SEARCH("YES", D31)), -5, -5)
+ IF(ISNUMBER(SEARCH("YES - S", E31)), 100, 0)
+ IF(ISNUMBER(SEARCH("YES - C", E31)), 150, 0)
+ IF(ISNUMBER(SEARCH("YES - S", F31)), 100, 0)
+ IF(ISNUMBER(SEARCH("YES - C", F31)), 150, 0)
+ IF(ISNUMBER(SEARCH("YES", G31)), 70, 0)
+ IF(ISNUMBER(SEARCH("YES", H31)), 1, 0)</f>
        <v>296</v>
      </c>
      <c r="J31">
        <f>IF(ISNUMBER(SEARCH("YES", D31)), 30, 50)
+ IF(ISNUMBER(SEARCH("YES - S", E31)), 25, 0)
+ IF(ISNUMBER(SEARCH("YES - C", E31)), 30, 0)
+ IF(ISNUMBER(SEARCH("YES - S", F31)), 25, 0)
+ IF(ISNUMBER(SEARCH("YES - C", F31)), 60, 0)
+ IF(ISNUMBER(SEARCH("YES", G31)), 8,0)
+ IF(ISNUMBER(SEARCH("YES", H31)), 10,30 )</f>
        <v>150</v>
      </c>
      <c r="K31">
        <f t="shared" si="2"/>
        <v>25</v>
      </c>
      <c r="L31">
        <f t="shared" si="0"/>
        <v>1400</v>
      </c>
      <c r="M31" s="3">
        <f t="shared" si="3"/>
        <v>1.7050751879699249</v>
      </c>
      <c r="N31" s="3">
        <f t="shared" si="4"/>
        <v>0.50393470723440725</v>
      </c>
      <c r="O31" s="3">
        <f t="shared" si="5"/>
        <v>0.33560150375939851</v>
      </c>
      <c r="P31" s="4">
        <f>I31/(0.5*1.225*15*15)</f>
        <v>2.1478458049886622</v>
      </c>
      <c r="Q31" s="4">
        <f>(( -5*1.72)/P31
+IF(ISNUMBER(SEARCH("YES - S",E31)),(100*0.2)/P31,0)
+IF(ISNUMBER(SEARCH("YES - C",E31)),(200*0.2)/P31,0)
+IF(ISNUMBER(SEARCH("YES - S",F31)),100*2.4/P31,0)
+IF(ISNUMBER(SEARCH("YES - C",F31)),180*2.4/P31,0)
+IF(ISNUMBER(SEARCH("YES",G31)),70*1.8/P31,0)
+IF(ISNUMBER(SEARCH("YES",H31)),1*1.9/P31,0))/(0.5*1.225*15*15)</f>
        <v>1.5719594594594595</v>
      </c>
      <c r="R31" s="2">
        <f t="shared" si="1"/>
        <v>0.41771985716286231</v>
      </c>
      <c r="S31" s="4">
        <f>(IF(ISNUMBER(SEARCH("YES", D31)), 30*0.31/T31, 50*0.31/T31)
+IF(ISNUMBER(SEARCH("YES - S",E31)),(25*0.08)/T31,0)
+IF(ISNUMBER(SEARCH("YES - C",E31)),(30*0.08)/T31,0)
+IF(ISNUMBER(SEARCH("YES - S",F31)),(25*0.85)/T31,0)
+IF(ISNUMBER(SEARCH("YES - C",F31)),(50*0.85)/T31,0)
+IF(ISNUMBER(SEARCH("YES",G31)),(8*0.6)/T31,0)
+IF(ISNUMBER(SEARCH("YES",H31)),(5*0.2)/T31,(10*0.2)/T31))/(0.5*1.225*15*15)</f>
        <v>0.40933333333333333</v>
      </c>
      <c r="T31">
        <f>J31/(0.5*1.225*15*15)</f>
        <v>1.08843537414966</v>
      </c>
      <c r="U31" s="2">
        <f t="shared" si="6"/>
        <v>-8.6214850071544946E-2</v>
      </c>
    </row>
    <row r="32" spans="3:21" x14ac:dyDescent="0.25">
      <c r="C32">
        <v>30</v>
      </c>
      <c r="D32" t="s">
        <v>17</v>
      </c>
      <c r="E32" t="s">
        <v>20</v>
      </c>
      <c r="F32" t="s">
        <v>17</v>
      </c>
      <c r="G32" t="s">
        <v>16</v>
      </c>
      <c r="H32" t="s">
        <v>16</v>
      </c>
      <c r="I32">
        <f>IF(ISNUMBER(SEARCH("YES", D32)), -5, -5)
+ IF(ISNUMBER(SEARCH("YES - S", E32)), 100, 0)
+ IF(ISNUMBER(SEARCH("YES - C", E32)), 150, 0)
+ IF(ISNUMBER(SEARCH("YES - S", F32)), 100, 0)
+ IF(ISNUMBER(SEARCH("YES - C", F32)), 150, 0)
+ IF(ISNUMBER(SEARCH("YES", G32)), 70, 0)
+ IF(ISNUMBER(SEARCH("YES", H32)), 1, 0)</f>
        <v>216</v>
      </c>
      <c r="J32">
        <f>IF(ISNUMBER(SEARCH("YES", D32)), 30, 50)
+ IF(ISNUMBER(SEARCH("YES - S", E32)), 25, 0)
+ IF(ISNUMBER(SEARCH("YES - C", E32)), 30, 0)
+ IF(ISNUMBER(SEARCH("YES - S", F32)), 25, 0)
+ IF(ISNUMBER(SEARCH("YES - C", F32)), 60, 0)
+ IF(ISNUMBER(SEARCH("YES", G32)), 8,0)
+ IF(ISNUMBER(SEARCH("YES", H32)), 10,30 )</f>
        <v>98</v>
      </c>
      <c r="K32">
        <f t="shared" si="2"/>
        <v>19</v>
      </c>
      <c r="L32">
        <f t="shared" si="0"/>
        <v>1250</v>
      </c>
      <c r="M32" s="3">
        <f t="shared" si="3"/>
        <v>1.6798076923076923</v>
      </c>
      <c r="N32" s="3">
        <f t="shared" si="4"/>
        <v>0.48756974890394578</v>
      </c>
      <c r="O32" s="3">
        <f t="shared" si="5"/>
        <v>0.31157692307692308</v>
      </c>
      <c r="P32" s="4">
        <f>I32/(0.5*1.225*15*15)</f>
        <v>1.5673469387755101</v>
      </c>
      <c r="Q32" s="4">
        <f>(( -5*1.72)/P32
+IF(ISNUMBER(SEARCH("YES - S",E32)),(100*0.2)/P32,0)
+IF(ISNUMBER(SEARCH("YES - C",E32)),(200*0.2)/P32,0)
+IF(ISNUMBER(SEARCH("YES - S",F32)),100*2.4/P32,0)
+IF(ISNUMBER(SEARCH("YES - C",F32)),180*2.4/P32,0)
+IF(ISNUMBER(SEARCH("YES",G32)),70*1.8/P32,0)
+IF(ISNUMBER(SEARCH("YES",H32)),1*1.9/P32,0))/(0.5*1.225*15*15)</f>
        <v>0.73750000000000004</v>
      </c>
      <c r="R32" s="2">
        <f t="shared" si="1"/>
        <v>-0.12273316062176165</v>
      </c>
      <c r="S32" s="4">
        <f>(IF(ISNUMBER(SEARCH("YES", D32)), 30*0.31/T32, 50*0.31/T32)
+IF(ISNUMBER(SEARCH("YES - S",E32)),(25*0.08)/T32,0)
+IF(ISNUMBER(SEARCH("YES - C",E32)),(30*0.08)/T32,0)
+IF(ISNUMBER(SEARCH("YES - S",F32)),(25*0.85)/T32,0)
+IF(ISNUMBER(SEARCH("YES - C",F32)),(50*0.85)/T32,0)
+IF(ISNUMBER(SEARCH("YES",G32)),(8*0.6)/T32,0)
+IF(ISNUMBER(SEARCH("YES",H32)),(5*0.2)/T32,(10*0.2)/T32))/(0.5*1.225*15*15)</f>
        <v>0.24183673469387756</v>
      </c>
      <c r="T32">
        <f>J32/(0.5*1.225*15*15)</f>
        <v>0.71111111111111114</v>
      </c>
      <c r="U32" s="2">
        <f t="shared" si="6"/>
        <v>-0.61030290952570743</v>
      </c>
    </row>
    <row r="33" spans="3:21" x14ac:dyDescent="0.25">
      <c r="C33">
        <v>31</v>
      </c>
      <c r="D33" t="s">
        <v>17</v>
      </c>
      <c r="E33" t="s">
        <v>17</v>
      </c>
      <c r="F33" t="s">
        <v>19</v>
      </c>
      <c r="G33" t="s">
        <v>16</v>
      </c>
      <c r="H33" t="s">
        <v>16</v>
      </c>
      <c r="I33">
        <f>IF(ISNUMBER(SEARCH("YES", D33)), -5, -5)
+ IF(ISNUMBER(SEARCH("YES - S", E33)), 100, 0)
+ IF(ISNUMBER(SEARCH("YES - C", E33)), 150, 0)
+ IF(ISNUMBER(SEARCH("YES - S", F33)), 100, 0)
+ IF(ISNUMBER(SEARCH("YES - C", F33)), 150, 0)
+ IF(ISNUMBER(SEARCH("YES", G33)), 70, 0)
+ IF(ISNUMBER(SEARCH("YES", H33)), 1, 0)</f>
        <v>166</v>
      </c>
      <c r="J33">
        <f>IF(ISNUMBER(SEARCH("YES", D33)), 30, 50)
+ IF(ISNUMBER(SEARCH("YES - S", E33)), 25, 0)
+ IF(ISNUMBER(SEARCH("YES - C", E33)), 30, 0)
+ IF(ISNUMBER(SEARCH("YES - S", F33)), 25, 0)
+ IF(ISNUMBER(SEARCH("YES - C", F33)), 60, 0)
+ IF(ISNUMBER(SEARCH("YES", G33)), 8,0)
+ IF(ISNUMBER(SEARCH("YES", H33)), 10,30 )</f>
        <v>93</v>
      </c>
      <c r="K33">
        <f t="shared" si="2"/>
        <v>17</v>
      </c>
      <c r="L33">
        <f t="shared" si="0"/>
        <v>950</v>
      </c>
      <c r="M33" s="3">
        <f t="shared" si="3"/>
        <v>1.7424418604651162</v>
      </c>
      <c r="N33" s="3">
        <f t="shared" si="4"/>
        <v>0.52813591999036014</v>
      </c>
      <c r="O33" s="3">
        <f t="shared" si="5"/>
        <v>0.33127906976744187</v>
      </c>
      <c r="P33" s="4">
        <f>I33/(0.5*1.225*15*15)</f>
        <v>1.2045351473922903</v>
      </c>
      <c r="Q33" s="4">
        <f>(( -5*1.72)/P33
+IF(ISNUMBER(SEARCH("YES - S",E33)),(100*0.2)/P33,0)
+IF(ISNUMBER(SEARCH("YES - C",E33)),(200*0.2)/P33,0)
+IF(ISNUMBER(SEARCH("YES - S",F33)),100*2.4/P33,0)
+IF(ISNUMBER(SEARCH("YES - C",F33)),180*2.4/P33,0)
+IF(ISNUMBER(SEARCH("YES",G33)),70*1.8/P33,0)
+IF(ISNUMBER(SEARCH("YES",H33)),1*1.9/P33,0))/(0.5*1.225*15*15)</f>
        <v>2.1644578313253011</v>
      </c>
      <c r="R33" s="2">
        <f t="shared" si="1"/>
        <v>0.80146232598788925</v>
      </c>
      <c r="S33" s="4">
        <f>(IF(ISNUMBER(SEARCH("YES", D33)), 30*0.31/T33, 50*0.31/T33)
+IF(ISNUMBER(SEARCH("YES - S",E33)),(25*0.08)/T33,0)
+IF(ISNUMBER(SEARCH("YES - C",E33)),(30*0.08)/T33,0)
+IF(ISNUMBER(SEARCH("YES - S",F33)),(25*0.85)/T33,0)
+IF(ISNUMBER(SEARCH("YES - C",F33)),(50*0.85)/T33,0)
+IF(ISNUMBER(SEARCH("YES",G33)),(8*0.6)/T33,0)
+IF(ISNUMBER(SEARCH("YES",H33)),(5*0.2)/T33,(10*0.2)/T33))/(0.5*1.225*15*15)</f>
        <v>0.45752688172043016</v>
      </c>
      <c r="T33">
        <f>J33/(0.5*1.225*15*15)</f>
        <v>0.67482993197278907</v>
      </c>
      <c r="U33" s="2">
        <f t="shared" si="6"/>
        <v>0.27332640599752911</v>
      </c>
    </row>
    <row r="34" spans="3:21" x14ac:dyDescent="0.25">
      <c r="C34">
        <v>32</v>
      </c>
      <c r="D34" t="s">
        <v>17</v>
      </c>
      <c r="E34" t="s">
        <v>17</v>
      </c>
      <c r="F34" t="s">
        <v>20</v>
      </c>
      <c r="G34" t="s">
        <v>16</v>
      </c>
      <c r="H34" t="s">
        <v>16</v>
      </c>
      <c r="I34">
        <f>IF(ISNUMBER(SEARCH("YES", D34)), -5, -5)
+ IF(ISNUMBER(SEARCH("YES - S", E34)), 100, 0)
+ IF(ISNUMBER(SEARCH("YES - C", E34)), 150, 0)
+ IF(ISNUMBER(SEARCH("YES - S", F34)), 100, 0)
+ IF(ISNUMBER(SEARCH("YES - C", F34)), 150, 0)
+ IF(ISNUMBER(SEARCH("YES", G34)), 70, 0)
+ IF(ISNUMBER(SEARCH("YES", H34)), 1, 0)</f>
        <v>216</v>
      </c>
      <c r="J34">
        <f>IF(ISNUMBER(SEARCH("YES", D34)), 30, 50)
+ IF(ISNUMBER(SEARCH("YES - S", E34)), 25, 0)
+ IF(ISNUMBER(SEARCH("YES - C", E34)), 30, 0)
+ IF(ISNUMBER(SEARCH("YES - S", F34)), 25, 0)
+ IF(ISNUMBER(SEARCH("YES - C", F34)), 60, 0)
+ IF(ISNUMBER(SEARCH("YES", G34)), 8,0)
+ IF(ISNUMBER(SEARCH("YES", H34)), 10,30 )</f>
        <v>128</v>
      </c>
      <c r="K34">
        <f t="shared" si="2"/>
        <v>21</v>
      </c>
      <c r="L34">
        <f t="shared" si="0"/>
        <v>1250</v>
      </c>
      <c r="M34" s="3">
        <f t="shared" si="3"/>
        <v>1.7524809160305344</v>
      </c>
      <c r="N34" s="3">
        <f t="shared" si="4"/>
        <v>0.53463789898350667</v>
      </c>
      <c r="O34" s="3">
        <f t="shared" si="5"/>
        <v>0.33919847328244279</v>
      </c>
      <c r="P34" s="4">
        <f>I34/(0.5*1.225*15*15)</f>
        <v>1.5673469387755101</v>
      </c>
      <c r="Q34" s="4">
        <f>(( -5*1.72)/P34
+IF(ISNUMBER(SEARCH("YES - S",E34)),(100*0.2)/P34,0)
+IF(ISNUMBER(SEARCH("YES - C",E34)),(200*0.2)/P34,0)
+IF(ISNUMBER(SEARCH("YES - S",F34)),100*2.4/P34,0)
+IF(ISNUMBER(SEARCH("YES - C",F34)),180*2.4/P34,0)
+IF(ISNUMBER(SEARCH("YES",G34)),70*1.8/P34,0)
+IF(ISNUMBER(SEARCH("YES",H34)),1*1.9/P34,0))/(0.5*1.225*15*15)</f>
        <v>2.5523148148148147</v>
      </c>
      <c r="R34" s="2">
        <f t="shared" si="1"/>
        <v>1.052665035501823</v>
      </c>
      <c r="S34" s="4">
        <f>(IF(ISNUMBER(SEARCH("YES", D34)), 30*0.31/T34, 50*0.31/T34)
+IF(ISNUMBER(SEARCH("YES - S",E34)),(25*0.08)/T34,0)
+IF(ISNUMBER(SEARCH("YES - C",E34)),(30*0.08)/T34,0)
+IF(ISNUMBER(SEARCH("YES - S",F34)),(25*0.85)/T34,0)
+IF(ISNUMBER(SEARCH("YES - C",F34)),(50*0.85)/T34,0)
+IF(ISNUMBER(SEARCH("YES",G34)),(8*0.6)/T34,0)
+IF(ISNUMBER(SEARCH("YES",H34)),(5*0.2)/T34,(10*0.2)/T34))/(0.5*1.225*15*15)</f>
        <v>0.49843749999999998</v>
      </c>
      <c r="T34">
        <f>J34/(0.5*1.225*15*15)</f>
        <v>0.92879818594104313</v>
      </c>
      <c r="U34" s="2">
        <f t="shared" si="6"/>
        <v>0.51802713651831633</v>
      </c>
    </row>
    <row r="35" spans="3:21" x14ac:dyDescent="0.25">
      <c r="C35">
        <v>33</v>
      </c>
      <c r="D35" t="s">
        <v>17</v>
      </c>
      <c r="E35" t="s">
        <v>19</v>
      </c>
      <c r="F35" t="s">
        <v>19</v>
      </c>
      <c r="G35" t="s">
        <v>16</v>
      </c>
      <c r="H35" t="s">
        <v>16</v>
      </c>
      <c r="I35">
        <f>IF(ISNUMBER(SEARCH("YES", D35)), -5, -5)
+ IF(ISNUMBER(SEARCH("YES - S", E35)), 100, 0)
+ IF(ISNUMBER(SEARCH("YES - C", E35)), 150, 0)
+ IF(ISNUMBER(SEARCH("YES - S", F35)), 100, 0)
+ IF(ISNUMBER(SEARCH("YES - C", F35)), 150, 0)
+ IF(ISNUMBER(SEARCH("YES", G35)), 70, 0)
+ IF(ISNUMBER(SEARCH("YES", H35)), 1, 0)</f>
        <v>266</v>
      </c>
      <c r="J35">
        <f>IF(ISNUMBER(SEARCH("YES", D35)), 30, 50)
+ IF(ISNUMBER(SEARCH("YES - S", E35)), 25, 0)
+ IF(ISNUMBER(SEARCH("YES - C", E35)), 30, 0)
+ IF(ISNUMBER(SEARCH("YES - S", F35)), 25, 0)
+ IF(ISNUMBER(SEARCH("YES - C", F35)), 60, 0)
+ IF(ISNUMBER(SEARCH("YES", G35)), 8,0)
+ IF(ISNUMBER(SEARCH("YES", H35)), 10,30 )</f>
        <v>118</v>
      </c>
      <c r="K35">
        <f t="shared" si="2"/>
        <v>22</v>
      </c>
      <c r="L35">
        <f t="shared" si="0"/>
        <v>1200</v>
      </c>
      <c r="M35" s="3">
        <f t="shared" si="3"/>
        <v>1.7131178707224333</v>
      </c>
      <c r="N35" s="3">
        <f t="shared" si="4"/>
        <v>0.50914369865442566</v>
      </c>
      <c r="O35" s="3">
        <f t="shared" si="5"/>
        <v>0.32650190114068445</v>
      </c>
      <c r="P35" s="4">
        <f>I35/(0.5*1.225*15*15)</f>
        <v>1.9301587301587302</v>
      </c>
      <c r="Q35" s="4">
        <f>(( -5*1.72)/P35
+IF(ISNUMBER(SEARCH("YES - S",E35)),(100*0.2)/P35,0)
+IF(ISNUMBER(SEARCH("YES - C",E35)),(200*0.2)/P35,0)
+IF(ISNUMBER(SEARCH("YES - S",F35)),100*2.4/P35,0)
+IF(ISNUMBER(SEARCH("YES - C",F35)),180*2.4/P35,0)
+IF(ISNUMBER(SEARCH("YES",G35)),70*1.8/P35,0)
+IF(ISNUMBER(SEARCH("YES",H35)),1*1.9/P35,0))/(0.5*1.225*15*15)</f>
        <v>1.4259398496240601</v>
      </c>
      <c r="R35" s="2">
        <f t="shared" si="1"/>
        <v>0.32314757100003888</v>
      </c>
      <c r="S35" s="4">
        <f>(IF(ISNUMBER(SEARCH("YES", D35)), 30*0.31/T35, 50*0.31/T35)
+IF(ISNUMBER(SEARCH("YES - S",E35)),(25*0.08)/T35,0)
+IF(ISNUMBER(SEARCH("YES - C",E35)),(30*0.08)/T35,0)
+IF(ISNUMBER(SEARCH("YES - S",F35)),(25*0.85)/T35,0)
+IF(ISNUMBER(SEARCH("YES - C",F35)),(50*0.85)/T35,0)
+IF(ISNUMBER(SEARCH("YES",G35)),(8*0.6)/T35,0)
+IF(ISNUMBER(SEARCH("YES",H35)),(5*0.2)/T35,(10*0.2)/T35))/(0.5*1.225*15*15)</f>
        <v>0.37754237288135584</v>
      </c>
      <c r="T35">
        <f>J35/(0.5*1.225*15*15)</f>
        <v>0.8562358276643991</v>
      </c>
      <c r="U35" s="2">
        <f t="shared" si="6"/>
        <v>-0.18599612765438678</v>
      </c>
    </row>
    <row r="36" spans="3:21" x14ac:dyDescent="0.25">
      <c r="C36">
        <v>34</v>
      </c>
      <c r="D36" t="s">
        <v>17</v>
      </c>
      <c r="E36" t="s">
        <v>19</v>
      </c>
      <c r="F36" t="s">
        <v>20</v>
      </c>
      <c r="G36" t="s">
        <v>16</v>
      </c>
      <c r="H36" t="s">
        <v>16</v>
      </c>
      <c r="I36">
        <f>IF(ISNUMBER(SEARCH("YES", D36)), -5, -5)
+ IF(ISNUMBER(SEARCH("YES - S", E36)), 100, 0)
+ IF(ISNUMBER(SEARCH("YES - C", E36)), 150, 0)
+ IF(ISNUMBER(SEARCH("YES - S", F36)), 100, 0)
+ IF(ISNUMBER(SEARCH("YES - C", F36)), 150, 0)
+ IF(ISNUMBER(SEARCH("YES", G36)), 70, 0)
+ IF(ISNUMBER(SEARCH("YES", H36)), 1, 0)</f>
        <v>316</v>
      </c>
      <c r="J36">
        <f>IF(ISNUMBER(SEARCH("YES", D36)), 30, 50)
+ IF(ISNUMBER(SEARCH("YES - S", E36)), 25, 0)
+ IF(ISNUMBER(SEARCH("YES - C", E36)), 30, 0)
+ IF(ISNUMBER(SEARCH("YES - S", F36)), 25, 0)
+ IF(ISNUMBER(SEARCH("YES - C", F36)), 60, 0)
+ IF(ISNUMBER(SEARCH("YES", G36)), 8,0)
+ IF(ISNUMBER(SEARCH("YES", H36)), 10,30 )</f>
        <v>153</v>
      </c>
      <c r="K36">
        <f t="shared" si="2"/>
        <v>26</v>
      </c>
      <c r="L36">
        <f t="shared" si="0"/>
        <v>1500</v>
      </c>
      <c r="M36" s="3">
        <f t="shared" si="3"/>
        <v>1.7234082397003745</v>
      </c>
      <c r="N36" s="3">
        <f t="shared" si="4"/>
        <v>0.51580844540179693</v>
      </c>
      <c r="O36" s="3">
        <f t="shared" si="5"/>
        <v>0.33434456928838957</v>
      </c>
      <c r="P36" s="4">
        <f>I36/(0.5*1.225*15*15)</f>
        <v>2.29297052154195</v>
      </c>
      <c r="Q36" s="4">
        <f>(( -5*1.72)/P36
+IF(ISNUMBER(SEARCH("YES - S",E36)),(100*0.2)/P36,0)
+IF(ISNUMBER(SEARCH("YES - C",E36)),(200*0.2)/P36,0)
+IF(ISNUMBER(SEARCH("YES - S",F36)),100*2.4/P36,0)
+IF(ISNUMBER(SEARCH("YES - C",F36)),180*2.4/P36,0)
+IF(ISNUMBER(SEARCH("YES",G36)),70*1.8/P36,0)
+IF(ISNUMBER(SEARCH("YES",H36)),1*1.9/P36,0))/(0.5*1.225*15*15)</f>
        <v>1.8079113924050634</v>
      </c>
      <c r="R36" s="2">
        <f t="shared" si="1"/>
        <v>0.5705384665835902</v>
      </c>
      <c r="S36" s="4">
        <f>(IF(ISNUMBER(SEARCH("YES", D36)), 30*0.31/T36, 50*0.31/T36)
+IF(ISNUMBER(SEARCH("YES - S",E36)),(25*0.08)/T36,0)
+IF(ISNUMBER(SEARCH("YES - C",E36)),(30*0.08)/T36,0)
+IF(ISNUMBER(SEARCH("YES - S",F36)),(25*0.85)/T36,0)
+IF(ISNUMBER(SEARCH("YES - C",F36)),(50*0.85)/T36,0)
+IF(ISNUMBER(SEARCH("YES",G36)),(8*0.6)/T36,0)
+IF(ISNUMBER(SEARCH("YES",H36)),(5*0.2)/T36,(10*0.2)/T36))/(0.5*1.225*15*15)</f>
        <v>0.43006535947712415</v>
      </c>
      <c r="T36">
        <f>J36/(0.5*1.225*15*15)</f>
        <v>1.1102040816326531</v>
      </c>
      <c r="U36" s="2">
        <f t="shared" si="6"/>
        <v>5.4730021181793265E-2</v>
      </c>
    </row>
    <row r="37" spans="3:21" x14ac:dyDescent="0.25">
      <c r="C37">
        <v>35</v>
      </c>
      <c r="D37" t="s">
        <v>17</v>
      </c>
      <c r="E37" t="s">
        <v>20</v>
      </c>
      <c r="F37" t="s">
        <v>19</v>
      </c>
      <c r="G37" t="s">
        <v>16</v>
      </c>
      <c r="H37" t="s">
        <v>16</v>
      </c>
      <c r="I37">
        <f>IF(ISNUMBER(SEARCH("YES", D37)), -5, -5)
+ IF(ISNUMBER(SEARCH("YES - S", E37)), 100, 0)
+ IF(ISNUMBER(SEARCH("YES - C", E37)), 150, 0)
+ IF(ISNUMBER(SEARCH("YES - S", F37)), 100, 0)
+ IF(ISNUMBER(SEARCH("YES - C", F37)), 150, 0)
+ IF(ISNUMBER(SEARCH("YES", G37)), 70, 0)
+ IF(ISNUMBER(SEARCH("YES", H37)), 1, 0)</f>
        <v>316</v>
      </c>
      <c r="J37">
        <f>IF(ISNUMBER(SEARCH("YES", D37)), 30, 50)
+ IF(ISNUMBER(SEARCH("YES - S", E37)), 25, 0)
+ IF(ISNUMBER(SEARCH("YES - C", E37)), 30, 0)
+ IF(ISNUMBER(SEARCH("YES - S", F37)), 25, 0)
+ IF(ISNUMBER(SEARCH("YES - C", F37)), 60, 0)
+ IF(ISNUMBER(SEARCH("YES", G37)), 8,0)
+ IF(ISNUMBER(SEARCH("YES", H37)), 10,30 )</f>
        <v>123</v>
      </c>
      <c r="K37">
        <f t="shared" si="2"/>
        <v>25</v>
      </c>
      <c r="L37">
        <f t="shared" si="0"/>
        <v>1500</v>
      </c>
      <c r="M37" s="3">
        <f t="shared" si="3"/>
        <v>1.6960526315789473</v>
      </c>
      <c r="N37" s="3">
        <f t="shared" si="4"/>
        <v>0.49809108262885182</v>
      </c>
      <c r="O37" s="3">
        <f t="shared" si="5"/>
        <v>0.32372180451127819</v>
      </c>
      <c r="P37" s="4">
        <f>I37/(0.5*1.225*15*15)</f>
        <v>2.29297052154195</v>
      </c>
      <c r="Q37" s="4">
        <f>(( -5*1.72)/P37
+IF(ISNUMBER(SEARCH("YES - S",E37)),(100*0.2)/P37,0)
+IF(ISNUMBER(SEARCH("YES - C",E37)),(200*0.2)/P37,0)
+IF(ISNUMBER(SEARCH("YES - S",F37)),100*2.4/P37,0)
+IF(ISNUMBER(SEARCH("YES - C",F37)),180*2.4/P37,0)
+IF(ISNUMBER(SEARCH("YES",G37)),70*1.8/P37,0)
+IF(ISNUMBER(SEARCH("YES",H37)),1*1.9/P37,0))/(0.5*1.225*15*15)</f>
        <v>1.2636075949367092</v>
      </c>
      <c r="R37" s="2">
        <f t="shared" si="1"/>
        <v>0.21801010034760951</v>
      </c>
      <c r="S37" s="4">
        <f>(IF(ISNUMBER(SEARCH("YES", D37)), 30*0.31/T37, 50*0.31/T37)
+IF(ISNUMBER(SEARCH("YES - S",E37)),(25*0.08)/T37,0)
+IF(ISNUMBER(SEARCH("YES - C",E37)),(30*0.08)/T37,0)
+IF(ISNUMBER(SEARCH("YES - S",F37)),(25*0.85)/T37,0)
+IF(ISNUMBER(SEARCH("YES - C",F37)),(50*0.85)/T37,0)
+IF(ISNUMBER(SEARCH("YES",G37)),(8*0.6)/T37,0)
+IF(ISNUMBER(SEARCH("YES",H37)),(5*0.2)/T37,(10*0.2)/T37))/(0.5*1.225*15*15)</f>
        <v>0.36544715447154463</v>
      </c>
      <c r="T37">
        <f>J37/(0.5*1.225*15*15)</f>
        <v>0.89251700680272106</v>
      </c>
      <c r="U37" s="2">
        <f t="shared" si="6"/>
        <v>-0.28008098228124234</v>
      </c>
    </row>
    <row r="38" spans="3:21" x14ac:dyDescent="0.25">
      <c r="C38">
        <v>36</v>
      </c>
      <c r="D38" t="s">
        <v>17</v>
      </c>
      <c r="E38" t="s">
        <v>20</v>
      </c>
      <c r="F38" t="s">
        <v>20</v>
      </c>
      <c r="G38" t="s">
        <v>16</v>
      </c>
      <c r="H38" t="s">
        <v>16</v>
      </c>
      <c r="I38">
        <f>IF(ISNUMBER(SEARCH("YES", D38)), -5, -5)
+ IF(ISNUMBER(SEARCH("YES - S", E38)), 100, 0)
+ IF(ISNUMBER(SEARCH("YES - C", E38)), 150, 0)
+ IF(ISNUMBER(SEARCH("YES - S", F38)), 100, 0)
+ IF(ISNUMBER(SEARCH("YES - C", F38)), 150, 0)
+ IF(ISNUMBER(SEARCH("YES", G38)), 70, 0)
+ IF(ISNUMBER(SEARCH("YES", H38)), 1, 0)</f>
        <v>366</v>
      </c>
      <c r="J38">
        <f>IF(ISNUMBER(SEARCH("YES", D38)), 30, 50)
+ IF(ISNUMBER(SEARCH("YES - S", E38)), 25, 0)
+ IF(ISNUMBER(SEARCH("YES - C", E38)), 30, 0)
+ IF(ISNUMBER(SEARCH("YES - S", F38)), 25, 0)
+ IF(ISNUMBER(SEARCH("YES - C", F38)), 60, 0)
+ IF(ISNUMBER(SEARCH("YES", G38)), 8,0)
+ IF(ISNUMBER(SEARCH("YES", H38)), 10,30 )</f>
        <v>158</v>
      </c>
      <c r="K38">
        <f t="shared" si="2"/>
        <v>29</v>
      </c>
      <c r="L38">
        <f t="shared" si="0"/>
        <v>1800</v>
      </c>
      <c r="M38" s="3">
        <f t="shared" si="3"/>
        <v>1.7064814814814815</v>
      </c>
      <c r="N38" s="3">
        <f t="shared" si="4"/>
        <v>0.5048455190942237</v>
      </c>
      <c r="O38" s="3">
        <f t="shared" si="5"/>
        <v>0.33151851851851855</v>
      </c>
      <c r="P38" s="4">
        <f>I38/(0.5*1.225*15*15)</f>
        <v>2.6557823129251701</v>
      </c>
      <c r="Q38" s="4">
        <f>(( -5*1.72)/P38
+IF(ISNUMBER(SEARCH("YES - S",E38)),(100*0.2)/P38,0)
+IF(ISNUMBER(SEARCH("YES - C",E38)),(200*0.2)/P38,0)
+IF(ISNUMBER(SEARCH("YES - S",F38)),100*2.4/P38,0)
+IF(ISNUMBER(SEARCH("YES - C",F38)),180*2.4/P38,0)
+IF(ISNUMBER(SEARCH("YES",G38)),70*1.8/P38,0)
+IF(ISNUMBER(SEARCH("YES",H38)),1*1.9/P38,0))/(0.5*1.225*15*15)</f>
        <v>1.6155737704918032</v>
      </c>
      <c r="R38" s="2">
        <f t="shared" si="1"/>
        <v>0.44596746793510567</v>
      </c>
      <c r="S38" s="4">
        <f>(IF(ISNUMBER(SEARCH("YES", D38)), 30*0.31/T38, 50*0.31/T38)
+IF(ISNUMBER(SEARCH("YES - S",E38)),(25*0.08)/T38,0)
+IF(ISNUMBER(SEARCH("YES - C",E38)),(30*0.08)/T38,0)
+IF(ISNUMBER(SEARCH("YES - S",F38)),(25*0.85)/T38,0)
+IF(ISNUMBER(SEARCH("YES - C",F38)),(50*0.85)/T38,0)
+IF(ISNUMBER(SEARCH("YES",G38)),(8*0.6)/T38,0)
+IF(ISNUMBER(SEARCH("YES",H38)),(5*0.2)/T38,(10*0.2)/T38))/(0.5*1.225*15*15)</f>
        <v>0.41898734177215191</v>
      </c>
      <c r="T38">
        <f>J38/(0.5*1.225*15*15)</f>
        <v>1.146485260770975</v>
      </c>
      <c r="U38" s="2">
        <f t="shared" si="6"/>
        <v>-5.8878051159118039E-2</v>
      </c>
    </row>
  </sheetData>
  <conditionalFormatting sqref="D3:H83">
    <cfRule type="containsText" dxfId="11" priority="3" operator="containsText" text="No">
      <formula>NOT(ISERROR(SEARCH("No",D3)))</formula>
    </cfRule>
    <cfRule type="containsText" dxfId="10" priority="4" operator="containsText" text="YES">
      <formula>NOT(ISERROR(SEARCH("YES",D3)))</formula>
    </cfRule>
  </conditionalFormatting>
  <conditionalFormatting sqref="U3:U1048576">
    <cfRule type="cellIs" dxfId="9" priority="1" operator="between">
      <formula>-0.75</formula>
      <formula>0.25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6C12-F548-4FD8-933B-F13A707EBA62}">
  <dimension ref="C1:I37"/>
  <sheetViews>
    <sheetView topLeftCell="A19" workbookViewId="0">
      <selection activeCell="W20" sqref="W20"/>
    </sheetView>
  </sheetViews>
  <sheetFormatPr defaultRowHeight="15" x14ac:dyDescent="0.25"/>
  <cols>
    <col min="3" max="3" width="20.7109375" customWidth="1"/>
    <col min="4" max="4" width="17" customWidth="1"/>
  </cols>
  <sheetData>
    <row r="1" spans="3:9" x14ac:dyDescent="0.25">
      <c r="C1" t="s">
        <v>26</v>
      </c>
      <c r="D1" t="s">
        <v>27</v>
      </c>
      <c r="E1" t="s">
        <v>28</v>
      </c>
      <c r="F1" t="s">
        <v>29</v>
      </c>
      <c r="G1" t="s">
        <v>31</v>
      </c>
      <c r="H1" t="s">
        <v>30</v>
      </c>
    </row>
    <row r="2" spans="3:9" x14ac:dyDescent="0.25">
      <c r="C2">
        <v>0</v>
      </c>
      <c r="D2">
        <v>-5</v>
      </c>
      <c r="E2">
        <f xml:space="preserve"> D2/(0.5*1.225*15^2*1.2)</f>
        <v>-3.0234315948601664E-2</v>
      </c>
      <c r="F2">
        <f>E2*1.2</f>
        <v>-3.6281179138321996E-2</v>
      </c>
      <c r="G2">
        <v>60</v>
      </c>
      <c r="H2">
        <f>G2/(0.5*1.225*15^2*1.2)</f>
        <v>0.36281179138321995</v>
      </c>
      <c r="I2">
        <f>H2*1.2</f>
        <v>0.43537414965986393</v>
      </c>
    </row>
    <row r="3" spans="3:9" x14ac:dyDescent="0.25">
      <c r="C3">
        <v>5</v>
      </c>
      <c r="D3">
        <v>100</v>
      </c>
      <c r="E3">
        <f t="shared" ref="E3:E37" si="0" xml:space="preserve"> D3/(0.5*1.225*15^2*1.2)</f>
        <v>0.60468631897203329</v>
      </c>
      <c r="F3">
        <f t="shared" ref="F3:F37" si="1">E3*1.2</f>
        <v>0.7256235827664399</v>
      </c>
      <c r="G3">
        <v>125</v>
      </c>
      <c r="H3">
        <f t="shared" ref="H3:H37" si="2">G3/(0.5*1.225*15^2*1.2)</f>
        <v>0.75585789871504161</v>
      </c>
      <c r="I3">
        <f t="shared" ref="I3:I37" si="3">H3*1.2</f>
        <v>0.90702947845804993</v>
      </c>
    </row>
    <row r="4" spans="3:9" x14ac:dyDescent="0.25">
      <c r="C4">
        <v>8</v>
      </c>
      <c r="D4">
        <v>200</v>
      </c>
      <c r="E4">
        <f t="shared" si="0"/>
        <v>1.2093726379440666</v>
      </c>
      <c r="F4">
        <f t="shared" si="1"/>
        <v>1.4512471655328798</v>
      </c>
      <c r="G4">
        <v>130</v>
      </c>
      <c r="H4">
        <f t="shared" si="2"/>
        <v>0.78609221466364321</v>
      </c>
      <c r="I4">
        <f t="shared" si="3"/>
        <v>0.94331065759637178</v>
      </c>
    </row>
    <row r="5" spans="3:9" x14ac:dyDescent="0.25">
      <c r="C5">
        <v>6</v>
      </c>
      <c r="D5">
        <v>100</v>
      </c>
      <c r="E5">
        <f t="shared" si="0"/>
        <v>0.60468631897203329</v>
      </c>
      <c r="F5">
        <f t="shared" si="1"/>
        <v>0.7256235827664399</v>
      </c>
      <c r="G5">
        <v>125</v>
      </c>
      <c r="H5">
        <f t="shared" si="2"/>
        <v>0.75585789871504161</v>
      </c>
      <c r="I5">
        <f t="shared" si="3"/>
        <v>0.90702947845804993</v>
      </c>
    </row>
    <row r="6" spans="3:9" x14ac:dyDescent="0.25">
      <c r="C6">
        <v>10</v>
      </c>
      <c r="D6">
        <v>180</v>
      </c>
      <c r="E6">
        <f t="shared" si="0"/>
        <v>1.08843537414966</v>
      </c>
      <c r="F6">
        <f t="shared" si="1"/>
        <v>1.306122448979592</v>
      </c>
      <c r="G6">
        <v>150</v>
      </c>
      <c r="H6">
        <f t="shared" si="2"/>
        <v>0.90702947845804993</v>
      </c>
      <c r="I6">
        <f t="shared" si="3"/>
        <v>1.08843537414966</v>
      </c>
    </row>
    <row r="7" spans="3:9" x14ac:dyDescent="0.25">
      <c r="C7">
        <v>4</v>
      </c>
      <c r="D7">
        <v>70</v>
      </c>
      <c r="E7">
        <f t="shared" si="0"/>
        <v>0.42328042328042326</v>
      </c>
      <c r="F7">
        <f t="shared" si="1"/>
        <v>0.50793650793650791</v>
      </c>
      <c r="G7">
        <v>108</v>
      </c>
      <c r="H7">
        <f t="shared" si="2"/>
        <v>0.65306122448979587</v>
      </c>
      <c r="I7">
        <f t="shared" si="3"/>
        <v>0.78367346938775506</v>
      </c>
    </row>
    <row r="8" spans="3:9" x14ac:dyDescent="0.25">
      <c r="C8">
        <v>7</v>
      </c>
      <c r="D8">
        <v>1</v>
      </c>
      <c r="E8">
        <f t="shared" si="0"/>
        <v>6.0468631897203327E-3</v>
      </c>
      <c r="F8">
        <f t="shared" si="1"/>
        <v>7.2562358276643986E-3</v>
      </c>
      <c r="G8">
        <v>80</v>
      </c>
      <c r="H8">
        <f t="shared" si="2"/>
        <v>0.48374905517762662</v>
      </c>
      <c r="I8">
        <f t="shared" si="3"/>
        <v>0.58049886621315194</v>
      </c>
    </row>
    <row r="9" spans="3:9" x14ac:dyDescent="0.25">
      <c r="C9">
        <v>11</v>
      </c>
      <c r="D9">
        <v>200</v>
      </c>
      <c r="E9">
        <f t="shared" si="0"/>
        <v>1.2093726379440666</v>
      </c>
      <c r="F9">
        <f t="shared" si="1"/>
        <v>1.4512471655328798</v>
      </c>
      <c r="G9">
        <v>150</v>
      </c>
      <c r="H9">
        <f t="shared" si="2"/>
        <v>0.90702947845804993</v>
      </c>
      <c r="I9">
        <f t="shared" si="3"/>
        <v>1.08843537414966</v>
      </c>
    </row>
    <row r="10" spans="3:9" x14ac:dyDescent="0.25">
      <c r="C10">
        <v>15</v>
      </c>
      <c r="D10">
        <v>280</v>
      </c>
      <c r="E10">
        <f t="shared" si="0"/>
        <v>1.693121693121693</v>
      </c>
      <c r="F10">
        <f t="shared" si="1"/>
        <v>2.0317460317460316</v>
      </c>
      <c r="G10">
        <v>175</v>
      </c>
      <c r="H10">
        <f t="shared" si="2"/>
        <v>1.0582010582010581</v>
      </c>
      <c r="I10">
        <f t="shared" si="3"/>
        <v>1.2698412698412698</v>
      </c>
    </row>
    <row r="11" spans="3:9" x14ac:dyDescent="0.25">
      <c r="C11">
        <v>9</v>
      </c>
      <c r="D11">
        <v>170</v>
      </c>
      <c r="E11">
        <f t="shared" si="0"/>
        <v>1.0279667422524565</v>
      </c>
      <c r="F11">
        <f t="shared" si="1"/>
        <v>1.2335600907029478</v>
      </c>
      <c r="G11">
        <v>133</v>
      </c>
      <c r="H11">
        <f t="shared" si="2"/>
        <v>0.80423280423280419</v>
      </c>
      <c r="I11">
        <f t="shared" si="3"/>
        <v>0.96507936507936498</v>
      </c>
    </row>
    <row r="12" spans="3:9" x14ac:dyDescent="0.25">
      <c r="C12">
        <v>12</v>
      </c>
      <c r="D12">
        <v>101</v>
      </c>
      <c r="E12">
        <f t="shared" si="0"/>
        <v>0.61073318216175354</v>
      </c>
      <c r="F12">
        <f t="shared" si="1"/>
        <v>0.73287981859410423</v>
      </c>
      <c r="G12">
        <v>105</v>
      </c>
      <c r="H12">
        <f t="shared" si="2"/>
        <v>0.63492063492063489</v>
      </c>
      <c r="I12">
        <f t="shared" si="3"/>
        <v>0.76190476190476186</v>
      </c>
    </row>
    <row r="13" spans="3:9" x14ac:dyDescent="0.25">
      <c r="C13">
        <v>18</v>
      </c>
      <c r="D13">
        <v>380</v>
      </c>
      <c r="E13">
        <f t="shared" si="0"/>
        <v>2.2978080120937263</v>
      </c>
      <c r="F13">
        <f t="shared" si="1"/>
        <v>2.7573696145124713</v>
      </c>
      <c r="G13">
        <v>180</v>
      </c>
      <c r="H13">
        <f t="shared" si="2"/>
        <v>1.08843537414966</v>
      </c>
      <c r="I13">
        <f t="shared" si="3"/>
        <v>1.306122448979592</v>
      </c>
    </row>
    <row r="14" spans="3:9" x14ac:dyDescent="0.25">
      <c r="C14">
        <v>14</v>
      </c>
      <c r="D14">
        <v>300</v>
      </c>
      <c r="E14">
        <f t="shared" si="0"/>
        <v>1.8140589569160999</v>
      </c>
      <c r="F14">
        <f t="shared" si="1"/>
        <v>2.1768707482993199</v>
      </c>
      <c r="G14">
        <v>155</v>
      </c>
      <c r="H14">
        <f t="shared" si="2"/>
        <v>0.93726379440665153</v>
      </c>
      <c r="I14">
        <f t="shared" si="3"/>
        <v>1.1247165532879817</v>
      </c>
    </row>
    <row r="15" spans="3:9" x14ac:dyDescent="0.25">
      <c r="C15">
        <v>12</v>
      </c>
      <c r="D15">
        <v>270</v>
      </c>
      <c r="E15">
        <f t="shared" si="0"/>
        <v>1.6326530612244898</v>
      </c>
      <c r="F15">
        <f t="shared" si="1"/>
        <v>1.9591836734693877</v>
      </c>
      <c r="G15">
        <v>138</v>
      </c>
      <c r="H15">
        <f t="shared" si="2"/>
        <v>0.8344671201814059</v>
      </c>
      <c r="I15">
        <f t="shared" si="3"/>
        <v>1.0013605442176869</v>
      </c>
    </row>
    <row r="16" spans="3:9" x14ac:dyDescent="0.25">
      <c r="C16">
        <v>15</v>
      </c>
      <c r="D16">
        <v>201</v>
      </c>
      <c r="E16">
        <f t="shared" si="0"/>
        <v>1.2154195011337869</v>
      </c>
      <c r="F16">
        <f t="shared" si="1"/>
        <v>1.4585034013605442</v>
      </c>
      <c r="G16">
        <v>110</v>
      </c>
      <c r="H16">
        <f t="shared" si="2"/>
        <v>0.66515495086923659</v>
      </c>
      <c r="I16">
        <f t="shared" si="3"/>
        <v>0.79818594104308394</v>
      </c>
    </row>
    <row r="17" spans="3:9" x14ac:dyDescent="0.25">
      <c r="C17">
        <v>10</v>
      </c>
      <c r="D17">
        <v>170</v>
      </c>
      <c r="E17">
        <f t="shared" si="0"/>
        <v>1.0279667422524565</v>
      </c>
      <c r="F17">
        <f t="shared" si="1"/>
        <v>1.2335600907029478</v>
      </c>
      <c r="G17">
        <v>133</v>
      </c>
      <c r="H17">
        <f t="shared" si="2"/>
        <v>0.80423280423280419</v>
      </c>
      <c r="I17">
        <f t="shared" si="3"/>
        <v>0.96507936507936498</v>
      </c>
    </row>
    <row r="18" spans="3:9" x14ac:dyDescent="0.25">
      <c r="C18">
        <v>13</v>
      </c>
      <c r="D18">
        <v>101</v>
      </c>
      <c r="E18">
        <f t="shared" si="0"/>
        <v>0.61073318216175354</v>
      </c>
      <c r="F18">
        <f t="shared" si="1"/>
        <v>0.73287981859410423</v>
      </c>
      <c r="G18">
        <v>105</v>
      </c>
      <c r="H18">
        <f t="shared" si="2"/>
        <v>0.63492063492063489</v>
      </c>
      <c r="I18">
        <f t="shared" si="3"/>
        <v>0.76190476190476186</v>
      </c>
    </row>
    <row r="19" spans="3:9" x14ac:dyDescent="0.25">
      <c r="C19">
        <v>14</v>
      </c>
      <c r="D19">
        <v>250</v>
      </c>
      <c r="E19">
        <f t="shared" si="0"/>
        <v>1.5117157974300832</v>
      </c>
      <c r="F19">
        <f t="shared" si="1"/>
        <v>1.8140589569160999</v>
      </c>
      <c r="G19">
        <v>158</v>
      </c>
      <c r="H19">
        <f t="shared" si="2"/>
        <v>0.95540438397581251</v>
      </c>
      <c r="I19">
        <f t="shared" si="3"/>
        <v>1.146485260770975</v>
      </c>
    </row>
    <row r="20" spans="3:9" x14ac:dyDescent="0.25">
      <c r="C20">
        <v>17</v>
      </c>
      <c r="D20">
        <v>181</v>
      </c>
      <c r="E20">
        <f t="shared" si="0"/>
        <v>1.0944822373393801</v>
      </c>
      <c r="F20">
        <f t="shared" si="1"/>
        <v>1.3133786848072562</v>
      </c>
      <c r="G20">
        <v>130</v>
      </c>
      <c r="H20">
        <f t="shared" si="2"/>
        <v>0.78609221466364321</v>
      </c>
      <c r="I20">
        <f t="shared" si="3"/>
        <v>0.94331065759637178</v>
      </c>
    </row>
    <row r="21" spans="3:9" x14ac:dyDescent="0.25">
      <c r="C21">
        <v>11</v>
      </c>
      <c r="D21">
        <v>71</v>
      </c>
      <c r="E21">
        <f t="shared" si="0"/>
        <v>0.42932728647014362</v>
      </c>
      <c r="F21">
        <f t="shared" si="1"/>
        <v>0.51519274376417235</v>
      </c>
      <c r="G21">
        <v>88</v>
      </c>
      <c r="H21">
        <f t="shared" si="2"/>
        <v>0.53212396069538925</v>
      </c>
      <c r="I21">
        <f t="shared" si="3"/>
        <v>0.6385487528344671</v>
      </c>
    </row>
    <row r="22" spans="3:9" x14ac:dyDescent="0.25">
      <c r="C22">
        <v>15</v>
      </c>
      <c r="D22">
        <v>270</v>
      </c>
      <c r="E22">
        <f t="shared" si="0"/>
        <v>1.6326530612244898</v>
      </c>
      <c r="F22">
        <f t="shared" si="1"/>
        <v>1.9591836734693877</v>
      </c>
      <c r="G22">
        <v>158</v>
      </c>
      <c r="H22">
        <f t="shared" si="2"/>
        <v>0.95540438397581251</v>
      </c>
      <c r="I22">
        <f t="shared" si="3"/>
        <v>1.146485260770975</v>
      </c>
    </row>
    <row r="23" spans="3:9" x14ac:dyDescent="0.25">
      <c r="C23">
        <v>19</v>
      </c>
      <c r="D23">
        <v>350</v>
      </c>
      <c r="E23">
        <f t="shared" si="0"/>
        <v>2.1164021164021163</v>
      </c>
      <c r="F23">
        <f t="shared" si="1"/>
        <v>2.5396825396825395</v>
      </c>
      <c r="G23">
        <v>183</v>
      </c>
      <c r="H23">
        <f t="shared" si="2"/>
        <v>1.1065759637188208</v>
      </c>
      <c r="I23">
        <f t="shared" si="3"/>
        <v>1.327891156462585</v>
      </c>
    </row>
    <row r="24" spans="3:9" x14ac:dyDescent="0.25">
      <c r="C24">
        <v>18</v>
      </c>
      <c r="D24">
        <v>201</v>
      </c>
      <c r="E24">
        <f t="shared" si="0"/>
        <v>1.2154195011337869</v>
      </c>
      <c r="F24">
        <f t="shared" si="1"/>
        <v>1.4585034013605442</v>
      </c>
      <c r="G24">
        <v>130</v>
      </c>
      <c r="H24">
        <f t="shared" si="2"/>
        <v>0.78609221466364321</v>
      </c>
      <c r="I24">
        <f t="shared" si="3"/>
        <v>0.94331065759637178</v>
      </c>
    </row>
    <row r="25" spans="3:9" x14ac:dyDescent="0.25">
      <c r="C25">
        <v>22</v>
      </c>
      <c r="D25">
        <v>281</v>
      </c>
      <c r="E25">
        <f t="shared" si="0"/>
        <v>1.6991685563114134</v>
      </c>
      <c r="F25">
        <f t="shared" si="1"/>
        <v>2.0390022675736961</v>
      </c>
      <c r="G25">
        <v>155</v>
      </c>
      <c r="H25">
        <f t="shared" si="2"/>
        <v>0.93726379440665153</v>
      </c>
      <c r="I25">
        <f t="shared" si="3"/>
        <v>1.1247165532879817</v>
      </c>
    </row>
    <row r="26" spans="3:9" x14ac:dyDescent="0.25">
      <c r="C26">
        <v>16</v>
      </c>
      <c r="D26">
        <v>171</v>
      </c>
      <c r="E26">
        <f t="shared" si="0"/>
        <v>1.0340136054421769</v>
      </c>
      <c r="F26">
        <f t="shared" si="1"/>
        <v>1.2408163265306122</v>
      </c>
      <c r="G26">
        <v>113</v>
      </c>
      <c r="H26">
        <f t="shared" si="2"/>
        <v>0.68329554043839758</v>
      </c>
      <c r="I26">
        <f t="shared" si="3"/>
        <v>0.81995464852607702</v>
      </c>
    </row>
    <row r="27" spans="3:9" x14ac:dyDescent="0.25">
      <c r="C27">
        <v>18</v>
      </c>
      <c r="D27">
        <v>370</v>
      </c>
      <c r="E27">
        <f t="shared" si="0"/>
        <v>2.2373393801965231</v>
      </c>
      <c r="F27">
        <f t="shared" si="1"/>
        <v>2.6848072562358278</v>
      </c>
      <c r="G27">
        <v>163</v>
      </c>
      <c r="H27">
        <f t="shared" si="2"/>
        <v>0.98563869992441422</v>
      </c>
      <c r="I27">
        <f t="shared" si="3"/>
        <v>1.182766439909297</v>
      </c>
    </row>
    <row r="28" spans="3:9" x14ac:dyDescent="0.25">
      <c r="C28">
        <v>22</v>
      </c>
      <c r="D28">
        <v>450</v>
      </c>
      <c r="E28">
        <f t="shared" si="0"/>
        <v>2.7210884353741496</v>
      </c>
      <c r="F28">
        <f t="shared" si="1"/>
        <v>3.2653061224489792</v>
      </c>
      <c r="G28">
        <v>188</v>
      </c>
      <c r="H28">
        <f t="shared" si="2"/>
        <v>1.1368102796674224</v>
      </c>
      <c r="I28">
        <f t="shared" si="3"/>
        <v>1.3641723356009068</v>
      </c>
    </row>
    <row r="29" spans="3:9" x14ac:dyDescent="0.25">
      <c r="C29">
        <v>21</v>
      </c>
      <c r="D29">
        <v>301</v>
      </c>
      <c r="E29">
        <f t="shared" si="0"/>
        <v>1.82010582010582</v>
      </c>
      <c r="F29">
        <f t="shared" si="1"/>
        <v>2.1841269841269839</v>
      </c>
      <c r="G29">
        <v>135</v>
      </c>
      <c r="H29">
        <f t="shared" si="2"/>
        <v>0.81632653061224492</v>
      </c>
      <c r="I29">
        <f t="shared" si="3"/>
        <v>0.97959183673469385</v>
      </c>
    </row>
    <row r="30" spans="3:9" x14ac:dyDescent="0.25">
      <c r="C30">
        <v>25</v>
      </c>
      <c r="D30">
        <v>381</v>
      </c>
      <c r="E30">
        <f t="shared" si="0"/>
        <v>2.3038548752834469</v>
      </c>
      <c r="F30">
        <f t="shared" si="1"/>
        <v>2.7646258503401362</v>
      </c>
      <c r="G30">
        <v>160</v>
      </c>
      <c r="H30">
        <f t="shared" si="2"/>
        <v>0.96749811035525324</v>
      </c>
      <c r="I30">
        <f t="shared" si="3"/>
        <v>1.1609977324263039</v>
      </c>
    </row>
    <row r="31" spans="3:9" x14ac:dyDescent="0.25">
      <c r="C31">
        <v>19</v>
      </c>
      <c r="D31">
        <v>271</v>
      </c>
      <c r="E31">
        <f t="shared" si="0"/>
        <v>1.6386999244142102</v>
      </c>
      <c r="F31">
        <f t="shared" si="1"/>
        <v>1.9664399092970521</v>
      </c>
      <c r="G31">
        <v>118</v>
      </c>
      <c r="H31">
        <f t="shared" si="2"/>
        <v>0.71352985638699928</v>
      </c>
      <c r="I31">
        <f t="shared" si="3"/>
        <v>0.8562358276643991</v>
      </c>
    </row>
    <row r="32" spans="3:9" x14ac:dyDescent="0.25">
      <c r="C32">
        <v>17</v>
      </c>
      <c r="D32">
        <v>171</v>
      </c>
      <c r="E32">
        <f t="shared" si="0"/>
        <v>1.0340136054421769</v>
      </c>
      <c r="F32">
        <f t="shared" si="1"/>
        <v>1.2408163265306122</v>
      </c>
      <c r="G32">
        <v>113</v>
      </c>
      <c r="H32">
        <f t="shared" si="2"/>
        <v>0.68329554043839758</v>
      </c>
      <c r="I32">
        <f t="shared" si="3"/>
        <v>0.81995464852607702</v>
      </c>
    </row>
    <row r="33" spans="3:9" x14ac:dyDescent="0.25">
      <c r="C33">
        <v>21</v>
      </c>
      <c r="D33">
        <v>251</v>
      </c>
      <c r="E33">
        <f t="shared" si="0"/>
        <v>1.5177626606198036</v>
      </c>
      <c r="F33">
        <f t="shared" si="1"/>
        <v>1.8213151927437643</v>
      </c>
      <c r="G33">
        <v>138</v>
      </c>
      <c r="H33">
        <f t="shared" si="2"/>
        <v>0.8344671201814059</v>
      </c>
      <c r="I33">
        <f t="shared" si="3"/>
        <v>1.0013605442176869</v>
      </c>
    </row>
    <row r="34" spans="3:9" x14ac:dyDescent="0.25">
      <c r="C34">
        <v>22</v>
      </c>
      <c r="D34">
        <v>271</v>
      </c>
      <c r="E34">
        <f t="shared" si="0"/>
        <v>1.6386999244142102</v>
      </c>
      <c r="F34">
        <f t="shared" si="1"/>
        <v>1.9664399092970521</v>
      </c>
      <c r="G34">
        <v>138</v>
      </c>
      <c r="H34">
        <f t="shared" si="2"/>
        <v>0.8344671201814059</v>
      </c>
      <c r="I34">
        <f t="shared" si="3"/>
        <v>1.0013605442176869</v>
      </c>
    </row>
    <row r="35" spans="3:9" x14ac:dyDescent="0.25">
      <c r="C35">
        <v>26</v>
      </c>
      <c r="D35">
        <v>351</v>
      </c>
      <c r="E35">
        <f t="shared" si="0"/>
        <v>2.1224489795918369</v>
      </c>
      <c r="F35">
        <f t="shared" si="1"/>
        <v>2.546938775510204</v>
      </c>
      <c r="G35">
        <v>163</v>
      </c>
      <c r="H35">
        <f t="shared" si="2"/>
        <v>0.98563869992441422</v>
      </c>
      <c r="I35">
        <f t="shared" si="3"/>
        <v>1.182766439909297</v>
      </c>
    </row>
    <row r="36" spans="3:9" x14ac:dyDescent="0.25">
      <c r="C36">
        <v>25</v>
      </c>
      <c r="D36">
        <v>371</v>
      </c>
      <c r="E36">
        <f t="shared" si="0"/>
        <v>2.2433862433862433</v>
      </c>
      <c r="F36">
        <f t="shared" si="1"/>
        <v>2.6920634920634918</v>
      </c>
      <c r="G36">
        <v>143</v>
      </c>
      <c r="H36">
        <f t="shared" si="2"/>
        <v>0.86470143613000761</v>
      </c>
      <c r="I36">
        <f t="shared" si="3"/>
        <v>1.0376417233560091</v>
      </c>
    </row>
    <row r="37" spans="3:9" x14ac:dyDescent="0.25">
      <c r="C37">
        <v>29</v>
      </c>
      <c r="D37">
        <v>451</v>
      </c>
      <c r="E37">
        <f t="shared" si="0"/>
        <v>2.7271352985638702</v>
      </c>
      <c r="F37">
        <f t="shared" si="1"/>
        <v>3.2725623582766441</v>
      </c>
      <c r="G37">
        <v>168</v>
      </c>
      <c r="H37">
        <f t="shared" si="2"/>
        <v>1.0158730158730158</v>
      </c>
      <c r="I37">
        <f t="shared" si="3"/>
        <v>1.2190476190476189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ba314e-1872-4020-85c9-ff4c726c1c0c">
      <Terms xmlns="http://schemas.microsoft.com/office/infopath/2007/PartnerControls"/>
    </lcf76f155ced4ddcb4097134ff3c332f>
    <TaxCatchAll xmlns="e72a6f67-260e-47c0-a21c-1273cc8df69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601963A9AD4429DC031D7B494B573" ma:contentTypeVersion="11" ma:contentTypeDescription="Create a new document." ma:contentTypeScope="" ma:versionID="4a19b08c9dc6687e82e25f1af7b49187">
  <xsd:schema xmlns:xsd="http://www.w3.org/2001/XMLSchema" xmlns:xs="http://www.w3.org/2001/XMLSchema" xmlns:p="http://schemas.microsoft.com/office/2006/metadata/properties" xmlns:ns2="e1ba314e-1872-4020-85c9-ff4c726c1c0c" xmlns:ns3="e72a6f67-260e-47c0-a21c-1273cc8df697" targetNamespace="http://schemas.microsoft.com/office/2006/metadata/properties" ma:root="true" ma:fieldsID="ebba93ed8f590fce3c8a908d95ae5c2c" ns2:_="" ns3:_="">
    <xsd:import namespace="e1ba314e-1872-4020-85c9-ff4c726c1c0c"/>
    <xsd:import namespace="e72a6f67-260e-47c0-a21c-1273cc8df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a314e-1872-4020-85c9-ff4c726c1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a6f67-260e-47c0-a21c-1273cc8df6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c42ec0a-bb8d-4111-b650-ecd65133e63d}" ma:internalName="TaxCatchAll" ma:showField="CatchAllData" ma:web="e72a6f67-260e-47c0-a21c-1273cc8df6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D6C741-8386-468A-9049-B1D752C660C6}">
  <ds:schemaRefs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e1ba314e-1872-4020-85c9-ff4c726c1c0c"/>
    <ds:schemaRef ds:uri="http://schemas.microsoft.com/office/2006/documentManagement/types"/>
    <ds:schemaRef ds:uri="e72a6f67-260e-47c0-a21c-1273cc8df69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3F52B4-AB25-46AB-94DF-5A564C11B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ba314e-1872-4020-85c9-ff4c726c1c0c"/>
    <ds:schemaRef ds:uri="e72a6f67-260e-47c0-a21c-1273cc8df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B13E28-1488-4CBE-86C3-EFDF37F839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Kallarackel</dc:creator>
  <cp:keywords/>
  <dc:description/>
  <cp:lastModifiedBy>Kallarackel, Paul</cp:lastModifiedBy>
  <cp:revision/>
  <dcterms:created xsi:type="dcterms:W3CDTF">2024-05-20T21:43:55Z</dcterms:created>
  <dcterms:modified xsi:type="dcterms:W3CDTF">2024-05-23T13:52:40Z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0x010100881601963A9AD4429DC031D7B494B573</vt:lpwstr>
  </property>
  <property fmtid="{D5CDD505-2E9C-101B-9397-08002B2CF9AE}" pid="3" name="MediaServiceImageTags">
    <vt:lpwstr/>
  </property>
</Properties>
</file>