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G:\My Drive\Backups\Imperial\Year 3\Year 3 - Modules\AERO60004 - Group Design Project\AeroTesting\Lap_Time_Sim_OOP-master\"/>
    </mc:Choice>
  </mc:AlternateContent>
  <xr:revisionPtr revIDLastSave="0" documentId="8_{36CD6F4A-9396-43EF-B888-3BD3D45FC17B}" xr6:coauthVersionLast="47" xr6:coauthVersionMax="47" xr10:uidLastSave="{00000000-0000-0000-0000-000000000000}"/>
  <bookViews>
    <workbookView xWindow="0" yWindow="0" windowWidth="19200" windowHeight="21000" firstSheet="3" activeTab="6" xr2:uid="{00000000-000D-0000-FFFF-FFFF00000000}"/>
  </bookViews>
  <sheets>
    <sheet name="Car Stats" sheetId="1" r:id="rId1"/>
    <sheet name="Mesh Converge" sheetId="9" r:id="rId2"/>
    <sheet name="Gear Ratio Calc" sheetId="8" r:id="rId3"/>
    <sheet name="converter" sheetId="4" r:id="rId4"/>
    <sheet name="Results" sheetId="2" r:id="rId5"/>
    <sheet name="Predicted Score" sheetId="3" r:id="rId6"/>
    <sheet name="Optimum Updated" sheetId="10" r:id="rId7"/>
    <sheet name="Optimum" sheetId="5" r:id="rId8"/>
    <sheet name="Actual" sheetId="6" r:id="rId9"/>
    <sheet name="Compare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2" i="10"/>
  <c r="G3" i="10"/>
  <c r="G4" i="10"/>
  <c r="G5" i="10"/>
  <c r="G6" i="10"/>
  <c r="G7" i="10"/>
  <c r="G8" i="10"/>
  <c r="G9" i="10"/>
  <c r="G10" i="10"/>
  <c r="G2" i="10"/>
  <c r="I7" i="10"/>
  <c r="I10" i="10"/>
  <c r="I3" i="10"/>
  <c r="I4" i="10"/>
  <c r="I5" i="10"/>
  <c r="I6" i="10"/>
  <c r="I8" i="10"/>
  <c r="I2" i="10"/>
  <c r="C11" i="1"/>
  <c r="D11" i="1"/>
  <c r="E11" i="1"/>
  <c r="F11" i="1"/>
  <c r="G11" i="1"/>
  <c r="H11" i="1"/>
  <c r="I11" i="1"/>
  <c r="J11" i="1"/>
  <c r="K11" i="1"/>
  <c r="L11" i="1"/>
  <c r="M11" i="1"/>
  <c r="B11" i="1"/>
  <c r="F2" i="6" l="1"/>
  <c r="F3" i="6"/>
  <c r="F4" i="6"/>
  <c r="F5" i="6"/>
  <c r="F6" i="6"/>
  <c r="F7" i="6"/>
  <c r="F8" i="6"/>
  <c r="B4" i="8"/>
  <c r="B5" i="8" s="1"/>
  <c r="B6" i="8" s="1"/>
  <c r="C8" i="4" l="1"/>
  <c r="C9" i="4"/>
  <c r="C2" i="4" l="1"/>
  <c r="C3" i="4"/>
  <c r="C4" i="4"/>
  <c r="C5" i="4"/>
  <c r="C6" i="4"/>
  <c r="C7" i="4"/>
  <c r="C1" i="4"/>
  <c r="K7" i="3" l="1"/>
  <c r="K3" i="3"/>
  <c r="H14" i="1"/>
  <c r="C16" i="1"/>
  <c r="D16" i="1"/>
  <c r="E16" i="1"/>
  <c r="F16" i="1"/>
  <c r="G16" i="1"/>
  <c r="H16" i="1"/>
  <c r="I16" i="1"/>
  <c r="J16" i="1"/>
  <c r="K16" i="1"/>
  <c r="L16" i="1"/>
  <c r="K23" i="1"/>
  <c r="L23" i="1" s="1"/>
  <c r="K22" i="1"/>
  <c r="L22" i="1" s="1"/>
  <c r="I23" i="1"/>
  <c r="I22" i="1"/>
  <c r="G23" i="1"/>
  <c r="G22" i="1"/>
  <c r="F23" i="1"/>
  <c r="F22" i="1"/>
  <c r="E23" i="1"/>
  <c r="H23" i="1" s="1"/>
  <c r="J23" i="1" s="1"/>
  <c r="C14" i="1"/>
  <c r="E22" i="1"/>
  <c r="H22" i="1" s="1"/>
  <c r="J22" i="1" s="1"/>
  <c r="D23" i="1"/>
  <c r="D22" i="1"/>
  <c r="B16" i="1"/>
  <c r="D14" i="1"/>
  <c r="E14" i="1"/>
  <c r="F14" i="1"/>
  <c r="G14" i="1"/>
  <c r="B14" i="1"/>
  <c r="I14" i="1"/>
  <c r="J14" i="1"/>
  <c r="K14" i="1"/>
  <c r="J13" i="2"/>
  <c r="J14" i="2"/>
  <c r="J15" i="2"/>
  <c r="J16" i="2"/>
  <c r="J17" i="2"/>
  <c r="J18" i="2"/>
  <c r="J19" i="2"/>
  <c r="J20" i="2"/>
  <c r="J12" i="2"/>
  <c r="J3" i="2"/>
  <c r="J2" i="2"/>
  <c r="F3" i="3" l="1"/>
  <c r="F4" i="3"/>
  <c r="F5" i="3"/>
  <c r="F6" i="3"/>
  <c r="F7" i="3"/>
  <c r="F8" i="3"/>
  <c r="F2" i="3"/>
  <c r="H3" i="3"/>
  <c r="H4" i="3"/>
  <c r="H5" i="3"/>
  <c r="H6" i="3"/>
  <c r="H7" i="3"/>
  <c r="H8" i="3"/>
  <c r="H2" i="3"/>
</calcChain>
</file>

<file path=xl/sharedStrings.xml><?xml version="1.0" encoding="utf-8"?>
<sst xmlns="http://schemas.openxmlformats.org/spreadsheetml/2006/main" count="241" uniqueCount="83">
  <si>
    <t>Team</t>
  </si>
  <si>
    <t>Oxford Brookes</t>
  </si>
  <si>
    <t>StrathClyde</t>
  </si>
  <si>
    <t>Modena</t>
  </si>
  <si>
    <t>Staffordshire</t>
  </si>
  <si>
    <t>Coventry</t>
  </si>
  <si>
    <t>Cardiff</t>
  </si>
  <si>
    <t>Leicster</t>
  </si>
  <si>
    <t>West England</t>
  </si>
  <si>
    <t>Sheffield</t>
  </si>
  <si>
    <t>Vigo</t>
  </si>
  <si>
    <t>Imperial</t>
  </si>
  <si>
    <t>Baseline</t>
  </si>
  <si>
    <t>Year</t>
  </si>
  <si>
    <t>-</t>
  </si>
  <si>
    <t>Type</t>
  </si>
  <si>
    <t>EV</t>
  </si>
  <si>
    <t>IC</t>
  </si>
  <si>
    <t>Length</t>
  </si>
  <si>
    <t>Height</t>
  </si>
  <si>
    <t>Width</t>
  </si>
  <si>
    <t>Front Weight</t>
  </si>
  <si>
    <t>Rear Weight</t>
  </si>
  <si>
    <t>Wheel Radius /m</t>
  </si>
  <si>
    <t>Total Mass</t>
  </si>
  <si>
    <t>COG Height</t>
  </si>
  <si>
    <t>COG Split</t>
  </si>
  <si>
    <t>COG LR Split</t>
  </si>
  <si>
    <t>COP Height</t>
  </si>
  <si>
    <t>COP Split</t>
  </si>
  <si>
    <t>COP LR Split</t>
  </si>
  <si>
    <t>Wheelbase</t>
  </si>
  <si>
    <t>Front Track</t>
  </si>
  <si>
    <t>Rear Track</t>
  </si>
  <si>
    <t>CLA</t>
  </si>
  <si>
    <t>CDA</t>
  </si>
  <si>
    <t>Speed (m/s)</t>
  </si>
  <si>
    <t>Tyre diameter (m)</t>
  </si>
  <si>
    <t>Motor speed (rpm)</t>
  </si>
  <si>
    <t>Tyre distance per rpm (m)</t>
  </si>
  <si>
    <t>Wheel rpm</t>
  </si>
  <si>
    <t>Reduction needed</t>
  </si>
  <si>
    <t>Penalty</t>
  </si>
  <si>
    <t>Acceleration Score</t>
  </si>
  <si>
    <t>Skid Pad Score</t>
  </si>
  <si>
    <t>Sprint Score</t>
  </si>
  <si>
    <t>Endurance Score</t>
  </si>
  <si>
    <t>Efficiency Score</t>
  </si>
  <si>
    <t>Total Score</t>
  </si>
  <si>
    <t>Oxford Brookes University</t>
  </si>
  <si>
    <t>Nottingham</t>
  </si>
  <si>
    <t>Surrey</t>
  </si>
  <si>
    <t>Bath</t>
  </si>
  <si>
    <t>Monash</t>
  </si>
  <si>
    <t>Tu Munich</t>
  </si>
  <si>
    <t>Basque Country (UPV/EHU)</t>
  </si>
  <si>
    <t>Southern Denmark</t>
  </si>
  <si>
    <t>Newcastle</t>
  </si>
  <si>
    <t>Acceleration Time</t>
  </si>
  <si>
    <t>Skid Pad  whole track double figure-eight Time</t>
  </si>
  <si>
    <t>Sprint Time</t>
  </si>
  <si>
    <t>Skid Pad  whole track double figure-eight score</t>
  </si>
  <si>
    <t>Acceleration</t>
  </si>
  <si>
    <t>Tmin</t>
  </si>
  <si>
    <t>Tmax</t>
  </si>
  <si>
    <t>Sprint</t>
  </si>
  <si>
    <t>Skid Pad  Time</t>
  </si>
  <si>
    <t>Sprint Time (Germany 2012)</t>
  </si>
  <si>
    <t>IC Baseline</t>
  </si>
  <si>
    <t>Skid Pad   Time</t>
  </si>
  <si>
    <t>G</t>
  </si>
  <si>
    <t>Mesh</t>
  </si>
  <si>
    <t>Runtime</t>
  </si>
  <si>
    <t>Laptime</t>
  </si>
  <si>
    <t>Wheel Diameter /in</t>
  </si>
  <si>
    <t>IC Aero</t>
  </si>
  <si>
    <t>Actual Skid</t>
  </si>
  <si>
    <t>Actual accel</t>
  </si>
  <si>
    <t>Acceleration optimum</t>
  </si>
  <si>
    <t>Skid Pad  Optimum</t>
  </si>
  <si>
    <t>err^2</t>
  </si>
  <si>
    <t>Editted skid</t>
  </si>
  <si>
    <t>error bar skidpad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</si>
</sst>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'Mesh Converge'!$A$3:$A$11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'Mesh Converge'!$B$3:$B$11</c:f>
              <c:numCache>
                <c:formatCode>General</c:formatCode>
                <c:ptCount val="9"/>
                <c:pt idx="0">
                  <c:v>3.34</c:v>
                </c:pt>
                <c:pt idx="1">
                  <c:v>11.38</c:v>
                </c:pt>
                <c:pt idx="2">
                  <c:v>21.48</c:v>
                </c:pt>
                <c:pt idx="3">
                  <c:v>41.17</c:v>
                </c:pt>
                <c:pt idx="4">
                  <c:v>60.77</c:v>
                </c:pt>
                <c:pt idx="5">
                  <c:v>80.33</c:v>
                </c:pt>
                <c:pt idx="6">
                  <c:v>120.13</c:v>
                </c:pt>
                <c:pt idx="7">
                  <c:v>158.81</c:v>
                </c:pt>
                <c:pt idx="8">
                  <c:v>197.58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3-4606-B3B6-064FE4A8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06176"/>
        <c:axId val="9179860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Laptime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'Mesh Converge'!$A$3:$A$11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3000</c:v>
                      </c:pt>
                      <c:pt idx="5">
                        <c:v>4000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'Mesh Converge'!$C$3:$C$11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35.047899999999998</c:v>
                      </c:pt>
                      <c:pt idx="1">
                        <c:v>55.148400000000002</c:v>
                      </c:pt>
                      <c:pt idx="2">
                        <c:v>65.289000000000001</c:v>
                      </c:pt>
                      <c:pt idx="3">
                        <c:v>70.959800000000001</c:v>
                      </c:pt>
                      <c:pt idx="4">
                        <c:v>72.983699999999999</c:v>
                      </c:pt>
                      <c:pt idx="5">
                        <c:v>74.167900000000003</c:v>
                      </c:pt>
                      <c:pt idx="6">
                        <c:v>75.732100000000003</c:v>
                      </c:pt>
                      <c:pt idx="7">
                        <c:v>76.655900000000003</c:v>
                      </c:pt>
                      <c:pt idx="8">
                        <c:v>77.244399999999999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C3-4606-B3B6-064FE4A8345D}"/>
                  </c:ext>
                </c:extLst>
              </c15:ser>
            </c15:filteredScatterSeries>
          </c:ext>
        </c:extLst>
      </c:scatterChart>
      <c:valAx>
        <c:axId val="14176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86079"/>
        <c:crosses val="autoZero"/>
        <c:crossBetween val="midCat"/>
      </c:valAx>
      <c:valAx>
        <c:axId val="9179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38308399968235E-2"/>
          <c:y val="0.16418958455236982"/>
          <c:w val="0.88019360264218327"/>
          <c:h val="0.76513256205759539"/>
        </c:manualLayout>
      </c:layout>
      <c:scatterChart>
        <c:scatterStyle val="lineMarker"/>
        <c:varyColors val="0"/>
        <c:ser>
          <c:idx val="0"/>
          <c:order val="0"/>
          <c:tx>
            <c:v>Laptime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'Mesh Converge'!$A$3:$A$11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'Mesh Converge'!$C$3:$C$11</c:f>
              <c:numCache>
                <c:formatCode>General</c:formatCode>
                <c:ptCount val="9"/>
                <c:pt idx="0">
                  <c:v>35.047899999999998</c:v>
                </c:pt>
                <c:pt idx="1">
                  <c:v>55.148400000000002</c:v>
                </c:pt>
                <c:pt idx="2">
                  <c:v>65.289000000000001</c:v>
                </c:pt>
                <c:pt idx="3">
                  <c:v>70.959800000000001</c:v>
                </c:pt>
                <c:pt idx="4">
                  <c:v>72.983699999999999</c:v>
                </c:pt>
                <c:pt idx="5">
                  <c:v>74.167900000000003</c:v>
                </c:pt>
                <c:pt idx="6">
                  <c:v>75.732100000000003</c:v>
                </c:pt>
                <c:pt idx="7">
                  <c:v>76.655900000000003</c:v>
                </c:pt>
                <c:pt idx="8">
                  <c:v>77.244399999999999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1-4BB6-87DD-A2A09F2D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3999"/>
        <c:axId val="1491162079"/>
      </c:scatterChart>
      <c:valAx>
        <c:axId val="149116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62079"/>
        <c:crosses val="autoZero"/>
        <c:crossBetween val="midCat"/>
      </c:valAx>
      <c:valAx>
        <c:axId val="14911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6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6991E-2"/>
          <c:y val="0.14856481481481484"/>
          <c:w val="0.89014129483814519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v>Optimum Acceleration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4.5"/>
            <c:intercept val="0"/>
            <c:dispRSqr val="0"/>
            <c:dispEq val="1"/>
            <c:trendlineLbl>
              <c:layout>
                <c:manualLayout>
                  <c:x val="-0.62134580052493438"/>
                  <c:y val="-1.5256999125109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'Optimum Updated'!$C$2:$C$8</c:f>
              <c:numCache>
                <c:formatCode>General</c:formatCode>
                <c:ptCount val="7"/>
                <c:pt idx="0">
                  <c:v>5.41</c:v>
                </c:pt>
                <c:pt idx="1">
                  <c:v>4.6500000000000004</c:v>
                </c:pt>
                <c:pt idx="2">
                  <c:v>4.6100000000000003</c:v>
                </c:pt>
                <c:pt idx="3">
                  <c:v>4.72</c:v>
                </c:pt>
                <c:pt idx="4">
                  <c:v>4.62</c:v>
                </c:pt>
                <c:pt idx="5">
                  <c:v>4.68</c:v>
                </c:pt>
                <c:pt idx="6">
                  <c:v>5.62</c:v>
                </c:pt>
              </c:numCache>
            </c:numRef>
          </c:xVal>
          <c:yVal>
            <c:numRef>
              <c:f>'Optimum Updated'!$E$2:$E$8</c:f>
              <c:numCache>
                <c:formatCode>General</c:formatCode>
                <c:ptCount val="7"/>
                <c:pt idx="0">
                  <c:v>4.4109999999999996</c:v>
                </c:pt>
                <c:pt idx="1">
                  <c:v>5.9109999999999996</c:v>
                </c:pt>
                <c:pt idx="2">
                  <c:v>4.2809999999999997</c:v>
                </c:pt>
                <c:pt idx="3">
                  <c:v>4.6680000000000001</c:v>
                </c:pt>
                <c:pt idx="4">
                  <c:v>4.9969999999999999</c:v>
                </c:pt>
                <c:pt idx="5">
                  <c:v>5.0119999999999996</c:v>
                </c:pt>
                <c:pt idx="6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1-4B4F-B704-E9D80ABF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5439"/>
        <c:axId val="14911625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forward val="7"/>
                  <c:dispRSqr val="0"/>
                  <c:dispEq val="0"/>
                </c:trendline>
                <c:xVal>
                  <c:numLit>
                    <c:formatCode>General</c:formatCode>
                    <c:ptCount val="5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</c:numLit>
                </c:xVal>
                <c:yVal>
                  <c:numLit>
                    <c:formatCode>General</c:formatCode>
                    <c:ptCount val="5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3-10B1-4B4F-B704-E9D80ABF68D9}"/>
                  </c:ext>
                </c:extLst>
              </c15:ser>
            </c15:filteredScatterSeries>
          </c:ext>
        </c:extLst>
      </c:scatterChart>
      <c:valAx>
        <c:axId val="149116543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62559"/>
        <c:crosses val="autoZero"/>
        <c:crossBetween val="midCat"/>
      </c:valAx>
      <c:valAx>
        <c:axId val="14911625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6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Optimum Skidpad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Optimum Acceleration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'Optimum Updated'!$D$2:$D$8</c:f>
              <c:numCache>
                <c:formatCode>General</c:formatCode>
                <c:ptCount val="7"/>
                <c:pt idx="0">
                  <c:v>5.22</c:v>
                </c:pt>
                <c:pt idx="1">
                  <c:v>4.99</c:v>
                </c:pt>
                <c:pt idx="2">
                  <c:v>4.95</c:v>
                </c:pt>
                <c:pt idx="3">
                  <c:v>5.24</c:v>
                </c:pt>
                <c:pt idx="4">
                  <c:v>5.56</c:v>
                </c:pt>
                <c:pt idx="5">
                  <c:v>5.6</c:v>
                </c:pt>
                <c:pt idx="6">
                  <c:v>5.48</c:v>
                </c:pt>
              </c:numCache>
            </c:numRef>
          </c:xVal>
          <c:yVal>
            <c:numRef>
              <c:f>'Optimum Updated'!$F$2:$F$8</c:f>
              <c:numCache>
                <c:formatCode>General</c:formatCode>
                <c:ptCount val="7"/>
                <c:pt idx="0">
                  <c:v>5.806</c:v>
                </c:pt>
                <c:pt idx="1">
                  <c:v>6.2160000000000002</c:v>
                </c:pt>
                <c:pt idx="2">
                  <c:v>5.9889999999999999</c:v>
                </c:pt>
                <c:pt idx="3">
                  <c:v>6.3520000000000003</c:v>
                </c:pt>
                <c:pt idx="4">
                  <c:v>6.1879999999999997</c:v>
                </c:pt>
                <c:pt idx="5">
                  <c:v>7.3780000000000001</c:v>
                </c:pt>
                <c:pt idx="6">
                  <c:v>6.8949999999999996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FCA-984D-6AA25C61878C}"/>
            </c:ext>
          </c:extLst>
        </c:ser>
        <c:ser>
          <c:idx val="2"/>
          <c:order val="2"/>
          <c:tx>
            <c:v>linear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'Optimum Updated'!$L$2:$L$3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'Optimum Updated'!$M$2:$M$3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F3-4FCA-984D-6AA25C61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5439"/>
        <c:axId val="14911625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forward val="7"/>
                  <c:dispRSqr val="0"/>
                  <c:dispEq val="0"/>
                </c:trendline>
                <c:xVal>
                  <c:numLit>
                    <c:formatCode>General</c:formatCode>
                    <c:ptCount val="5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</c:numLit>
                </c:xVal>
                <c:yVal>
                  <c:numLit>
                    <c:formatCode>General</c:formatCode>
                    <c:ptCount val="5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3-60F3-4FCA-984D-6AA25C61878C}"/>
                  </c:ext>
                </c:extLst>
              </c15:ser>
            </c15:filteredScatterSeries>
          </c:ext>
        </c:extLst>
      </c:scatterChart>
      <c:valAx>
        <c:axId val="149116543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62559"/>
        <c:crosses val="autoZero"/>
        <c:crossBetween val="midCat"/>
      </c:valAx>
      <c:valAx>
        <c:axId val="14911625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6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'Optimum Updated'!$F$2:$F$8</c:f>
              <c:numCache>
                <c:formatCode>General</c:formatCode>
                <c:ptCount val="7"/>
                <c:pt idx="0">
                  <c:v>5.806</c:v>
                </c:pt>
                <c:pt idx="1">
                  <c:v>6.2160000000000002</c:v>
                </c:pt>
                <c:pt idx="2">
                  <c:v>5.9889999999999999</c:v>
                </c:pt>
                <c:pt idx="3">
                  <c:v>6.3520000000000003</c:v>
                </c:pt>
                <c:pt idx="4">
                  <c:v>6.1879999999999997</c:v>
                </c:pt>
                <c:pt idx="5">
                  <c:v>7.3780000000000001</c:v>
                </c:pt>
                <c:pt idx="6">
                  <c:v>6.8949999999999996</c:v>
                </c:pt>
              </c:numCache>
            </c:numRef>
          </c:xVal>
          <c:yVal>
            <c:numRef>
              <c:f>'Optimum Updated'!$G$2:$G$8</c:f>
              <c:numCache>
                <c:formatCode>General</c:formatCode>
                <c:ptCount val="7"/>
                <c:pt idx="0">
                  <c:v>6.0029999999999992</c:v>
                </c:pt>
                <c:pt idx="1">
                  <c:v>5.7385000000000002</c:v>
                </c:pt>
                <c:pt idx="2">
                  <c:v>5.6924999999999999</c:v>
                </c:pt>
                <c:pt idx="3">
                  <c:v>6.0259999999999998</c:v>
                </c:pt>
                <c:pt idx="4">
                  <c:v>6.3939999999999992</c:v>
                </c:pt>
                <c:pt idx="5">
                  <c:v>6.4399999999999995</c:v>
                </c:pt>
                <c:pt idx="6">
                  <c:v>6.3019999999999996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B-4299-A4F0-76697C0A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4679"/>
        <c:axId val="89901575"/>
      </c:scatterChart>
      <c:valAx>
        <c:axId val="89884679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1575"/>
        <c:crosses val="autoZero"/>
        <c:crossBetween val="midCat"/>
      </c:valAx>
      <c:valAx>
        <c:axId val="89901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4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71142159"/>
        <c:axId val="571143119"/>
      </c:scatterChart>
      <c:valAx>
        <c:axId val="5711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43119"/>
        <c:crosses val="autoZero"/>
        <c:crossBetween val="midCat"/>
      </c:valAx>
      <c:valAx>
        <c:axId val="5711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13</xdr:row>
      <xdr:rowOff>38100</xdr:rowOff>
    </xdr:from>
    <xdr:to>
      <xdr:col>13</xdr:col>
      <xdr:colOff>160020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CF09B-FC9D-4ADA-0CBE-B537E9A38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13</xdr:row>
      <xdr:rowOff>0</xdr:rowOff>
    </xdr:from>
    <xdr:to>
      <xdr:col>22</xdr:col>
      <xdr:colOff>262890</xdr:colOff>
      <xdr:row>27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A516E-179A-7198-5FF3-0C63C9E26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872132</xdr:colOff>
      <xdr:row>11</xdr:row>
      <xdr:rowOff>36313</xdr:rowOff>
    </xdr:from>
    <xdr:to>
      <xdr:col>6</xdr:col>
      <xdr:colOff>348257</xdr:colOff>
      <xdr:row>25</xdr:row>
      <xdr:rowOff>112513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524C4-0E49-94DD-DF71-B92A8E7D4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565548</xdr:colOff>
      <xdr:row>11</xdr:row>
      <xdr:rowOff>35719</xdr:rowOff>
    </xdr:from>
    <xdr:to>
      <xdr:col>14</xdr:col>
      <xdr:colOff>279798</xdr:colOff>
      <xdr:row>25</xdr:row>
      <xdr:rowOff>111919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57BACD-6AF1-4DF1-A387-E0EE6860D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885825</xdr:colOff>
      <xdr:row>26</xdr:row>
      <xdr:rowOff>76200</xdr:rowOff>
    </xdr:from>
    <xdr:to>
      <xdr:col>6</xdr:col>
      <xdr:colOff>361950</xdr:colOff>
      <xdr:row>40</xdr:row>
      <xdr:rowOff>152400</xdr:rowOff>
    </xdr:to>
    <xdr:graphicFrame macro="">
      <xdr:nvGraphicFramePr>
        <xdr:cNvPr id="69" name="Chart 7">
          <a:extLst>
            <a:ext uri="{FF2B5EF4-FFF2-40B4-BE49-F238E27FC236}">
              <a16:creationId xmlns:a16="http://schemas.microsoft.com/office/drawing/2014/main" id="{F9032E39-E5A1-0C20-6DBF-803012D45BE2}"/>
            </a:ext>
            <a:ext uri="{147F2762-F138-4A5C-976F-8EAC2B608ADB}">
              <a16:predDERef xmlns:a16="http://schemas.microsoft.com/office/drawing/2014/main" pred="{7957BACD-6AF1-4DF1-A387-E0EE6860D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180975</xdr:rowOff>
    </xdr:from>
    <xdr:to>
      <xdr:col>13</xdr:col>
      <xdr:colOff>196850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1043E-4668-F4F6-EEB5-A2F870C48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140" zoomScaleNormal="140" workbookViewId="0">
      <pane ySplit="1" topLeftCell="A2" activePane="bottomLeft" state="frozen"/>
      <selection pane="bottomLeft" activeCell="P12" sqref="P12"/>
    </sheetView>
  </sheetViews>
  <sheetFormatPr defaultRowHeight="15" x14ac:dyDescent="0.25"/>
  <cols>
    <col min="1" max="1" width="14.42578125" customWidth="1"/>
    <col min="5" max="5" width="12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2023</v>
      </c>
      <c r="C2">
        <v>2023</v>
      </c>
      <c r="D2">
        <v>2023</v>
      </c>
      <c r="E2">
        <v>2023</v>
      </c>
      <c r="F2">
        <v>2023</v>
      </c>
      <c r="G2">
        <v>2023</v>
      </c>
      <c r="H2">
        <v>2023</v>
      </c>
      <c r="I2">
        <v>2023</v>
      </c>
      <c r="J2">
        <v>2023</v>
      </c>
      <c r="K2">
        <v>2023</v>
      </c>
      <c r="L2">
        <v>2023</v>
      </c>
      <c r="M2" t="s">
        <v>14</v>
      </c>
    </row>
    <row r="3" spans="1:13" x14ac:dyDescent="0.25">
      <c r="A3" t="s">
        <v>15</v>
      </c>
      <c r="B3" t="s">
        <v>16</v>
      </c>
      <c r="C3" t="s">
        <v>16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16</v>
      </c>
      <c r="M3" t="s">
        <v>16</v>
      </c>
    </row>
    <row r="4" spans="1:13" x14ac:dyDescent="0.25">
      <c r="A4" t="s">
        <v>18</v>
      </c>
      <c r="B4">
        <v>2880</v>
      </c>
      <c r="C4">
        <v>2890</v>
      </c>
      <c r="D4">
        <v>2798</v>
      </c>
      <c r="E4">
        <v>2905</v>
      </c>
      <c r="F4">
        <v>2950</v>
      </c>
      <c r="G4">
        <v>2880</v>
      </c>
      <c r="H4">
        <v>2830</v>
      </c>
      <c r="L4">
        <v>3003</v>
      </c>
      <c r="M4">
        <v>2691</v>
      </c>
    </row>
    <row r="5" spans="1:13" x14ac:dyDescent="0.25">
      <c r="A5" t="s">
        <v>19</v>
      </c>
      <c r="B5">
        <v>1558</v>
      </c>
      <c r="C5">
        <v>1500</v>
      </c>
      <c r="D5">
        <v>1478</v>
      </c>
      <c r="E5">
        <v>1362</v>
      </c>
      <c r="F5">
        <v>1520</v>
      </c>
      <c r="G5">
        <v>1490</v>
      </c>
      <c r="H5">
        <v>1570</v>
      </c>
      <c r="M5">
        <v>1118</v>
      </c>
    </row>
    <row r="6" spans="1:13" x14ac:dyDescent="0.25">
      <c r="A6" t="s">
        <v>20</v>
      </c>
      <c r="B6">
        <v>1187</v>
      </c>
      <c r="C6">
        <v>1181</v>
      </c>
      <c r="D6">
        <v>1195</v>
      </c>
      <c r="E6">
        <v>1153</v>
      </c>
      <c r="F6">
        <v>1100</v>
      </c>
      <c r="G6">
        <v>1190</v>
      </c>
      <c r="H6">
        <v>1220</v>
      </c>
    </row>
    <row r="7" spans="1:13" x14ac:dyDescent="0.25">
      <c r="A7" t="s">
        <v>21</v>
      </c>
      <c r="B7">
        <v>99</v>
      </c>
      <c r="C7">
        <v>106</v>
      </c>
      <c r="D7">
        <v>76</v>
      </c>
      <c r="E7">
        <v>118</v>
      </c>
      <c r="F7">
        <v>85</v>
      </c>
      <c r="G7">
        <v>98.9</v>
      </c>
      <c r="H7">
        <v>102.15</v>
      </c>
    </row>
    <row r="8" spans="1:13" x14ac:dyDescent="0.25">
      <c r="A8" t="s">
        <v>22</v>
      </c>
      <c r="B8">
        <v>142</v>
      </c>
      <c r="C8">
        <v>119</v>
      </c>
      <c r="D8">
        <v>124.5</v>
      </c>
      <c r="E8">
        <v>126</v>
      </c>
      <c r="F8">
        <v>130</v>
      </c>
      <c r="G8">
        <v>106.6</v>
      </c>
      <c r="H8">
        <v>136.4</v>
      </c>
    </row>
    <row r="9" spans="1:13" x14ac:dyDescent="0.25">
      <c r="A9" t="s">
        <v>74</v>
      </c>
      <c r="B9">
        <v>16</v>
      </c>
      <c r="C9">
        <v>13</v>
      </c>
      <c r="D9">
        <v>16</v>
      </c>
      <c r="E9">
        <v>13</v>
      </c>
      <c r="F9">
        <v>10</v>
      </c>
      <c r="G9">
        <v>16</v>
      </c>
      <c r="H9">
        <v>18</v>
      </c>
    </row>
    <row r="11" spans="1:13" x14ac:dyDescent="0.25">
      <c r="A11" t="s">
        <v>23</v>
      </c>
      <c r="B11">
        <f>B9*0.0254/2</f>
        <v>0.20319999999999999</v>
      </c>
      <c r="C11">
        <f t="shared" ref="C11:M11" si="0">C9*0.0254/2</f>
        <v>0.1651</v>
      </c>
      <c r="D11">
        <f t="shared" si="0"/>
        <v>0.20319999999999999</v>
      </c>
      <c r="E11">
        <f t="shared" si="0"/>
        <v>0.1651</v>
      </c>
      <c r="F11">
        <f t="shared" si="0"/>
        <v>0.127</v>
      </c>
      <c r="G11">
        <f t="shared" si="0"/>
        <v>0.20319999999999999</v>
      </c>
      <c r="H11">
        <f t="shared" si="0"/>
        <v>0.2286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</row>
    <row r="12" spans="1:13" x14ac:dyDescent="0.25">
      <c r="A12" t="s">
        <v>24</v>
      </c>
      <c r="B12">
        <v>241</v>
      </c>
      <c r="C12">
        <v>225</v>
      </c>
      <c r="D12">
        <v>200.5</v>
      </c>
      <c r="E12">
        <v>244</v>
      </c>
      <c r="F12">
        <v>215</v>
      </c>
      <c r="G12">
        <v>205.5</v>
      </c>
      <c r="H12">
        <v>238.55</v>
      </c>
      <c r="M12">
        <v>241</v>
      </c>
    </row>
    <row r="13" spans="1:13" x14ac:dyDescent="0.25">
      <c r="A13" t="s">
        <v>25</v>
      </c>
      <c r="B13">
        <v>0.30399999999999999</v>
      </c>
      <c r="C13">
        <v>0.30399999999999999</v>
      </c>
      <c r="D13">
        <v>0.30399999999999999</v>
      </c>
      <c r="E13">
        <v>0.30399999999999999</v>
      </c>
      <c r="F13">
        <v>0.30399999999999999</v>
      </c>
      <c r="G13">
        <v>0.30399999999999999</v>
      </c>
      <c r="H13">
        <v>0.30399999999999999</v>
      </c>
      <c r="I13">
        <v>0.30399999999999999</v>
      </c>
      <c r="J13">
        <v>0.30399999999999999</v>
      </c>
      <c r="K13">
        <v>0.30399999999999999</v>
      </c>
      <c r="L13">
        <v>0.30399999999999999</v>
      </c>
      <c r="M13">
        <v>0.33</v>
      </c>
    </row>
    <row r="14" spans="1:13" x14ac:dyDescent="0.25">
      <c r="A14" t="s">
        <v>26</v>
      </c>
      <c r="B14">
        <f t="shared" ref="B14:G14" si="1">B8/B12</f>
        <v>0.58921161825726143</v>
      </c>
      <c r="C14">
        <f t="shared" si="1"/>
        <v>0.52888888888888885</v>
      </c>
      <c r="D14">
        <f t="shared" si="1"/>
        <v>0.62094763092269323</v>
      </c>
      <c r="E14">
        <f t="shared" si="1"/>
        <v>0.51639344262295084</v>
      </c>
      <c r="F14">
        <f t="shared" si="1"/>
        <v>0.60465116279069764</v>
      </c>
      <c r="G14">
        <f t="shared" si="1"/>
        <v>0.51873479318734794</v>
      </c>
      <c r="H14">
        <f>H8/H12</f>
        <v>0.57178788513938372</v>
      </c>
      <c r="I14" t="e">
        <f>I7/I12</f>
        <v>#DIV/0!</v>
      </c>
      <c r="J14" t="e">
        <f>J7/J12</f>
        <v>#DIV/0!</v>
      </c>
      <c r="K14" t="e">
        <f>K7/K12</f>
        <v>#DIV/0!</v>
      </c>
      <c r="M14">
        <v>0.51400000000000001</v>
      </c>
    </row>
    <row r="15" spans="1:13" x14ac:dyDescent="0.25">
      <c r="A15" t="s">
        <v>27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</row>
    <row r="16" spans="1:13" x14ac:dyDescent="0.25">
      <c r="A16" t="s">
        <v>28</v>
      </c>
      <c r="B16">
        <f t="shared" ref="B16:L16" si="2">B13</f>
        <v>0.30399999999999999</v>
      </c>
      <c r="C16">
        <f t="shared" si="2"/>
        <v>0.30399999999999999</v>
      </c>
      <c r="D16">
        <f t="shared" si="2"/>
        <v>0.30399999999999999</v>
      </c>
      <c r="E16">
        <f t="shared" si="2"/>
        <v>0.30399999999999999</v>
      </c>
      <c r="F16">
        <f t="shared" si="2"/>
        <v>0.30399999999999999</v>
      </c>
      <c r="G16">
        <f t="shared" si="2"/>
        <v>0.30399999999999999</v>
      </c>
      <c r="H16">
        <f t="shared" si="2"/>
        <v>0.30399999999999999</v>
      </c>
      <c r="I16">
        <f t="shared" si="2"/>
        <v>0.30399999999999999</v>
      </c>
      <c r="J16">
        <f t="shared" si="2"/>
        <v>0.30399999999999999</v>
      </c>
      <c r="K16">
        <f t="shared" si="2"/>
        <v>0.30399999999999999</v>
      </c>
      <c r="L16">
        <f t="shared" si="2"/>
        <v>0.30399999999999999</v>
      </c>
      <c r="M16">
        <v>0.31</v>
      </c>
    </row>
    <row r="17" spans="1:13" x14ac:dyDescent="0.25">
      <c r="A17" t="s">
        <v>29</v>
      </c>
      <c r="B17">
        <v>0.54</v>
      </c>
      <c r="C17">
        <v>0.54</v>
      </c>
      <c r="D17">
        <v>0.54</v>
      </c>
      <c r="E17">
        <v>0.54</v>
      </c>
      <c r="F17">
        <v>0.54</v>
      </c>
      <c r="G17">
        <v>0.54</v>
      </c>
      <c r="H17">
        <v>0.54</v>
      </c>
      <c r="I17">
        <v>0.54</v>
      </c>
      <c r="J17">
        <v>0.54</v>
      </c>
      <c r="K17">
        <v>0.54</v>
      </c>
      <c r="L17">
        <v>0.54</v>
      </c>
      <c r="M17">
        <v>0.4929</v>
      </c>
    </row>
    <row r="18" spans="1:13" x14ac:dyDescent="0.25">
      <c r="A18" t="s">
        <v>30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</row>
    <row r="19" spans="1:13" x14ac:dyDescent="0.25">
      <c r="A19" t="s">
        <v>31</v>
      </c>
      <c r="B19">
        <v>1535</v>
      </c>
      <c r="C19">
        <v>1535</v>
      </c>
      <c r="D19">
        <v>1543</v>
      </c>
      <c r="E19">
        <v>1580</v>
      </c>
      <c r="F19">
        <v>1550</v>
      </c>
      <c r="G19">
        <v>1540</v>
      </c>
      <c r="H19">
        <v>1550</v>
      </c>
      <c r="L19">
        <v>1680</v>
      </c>
      <c r="M19">
        <v>1544</v>
      </c>
    </row>
    <row r="20" spans="1:13" x14ac:dyDescent="0.25">
      <c r="A20" t="s">
        <v>32</v>
      </c>
      <c r="B20">
        <v>1236</v>
      </c>
      <c r="C20">
        <v>1200</v>
      </c>
      <c r="D20">
        <v>1256</v>
      </c>
      <c r="E20">
        <v>1150</v>
      </c>
      <c r="F20">
        <v>1240</v>
      </c>
      <c r="G20">
        <v>1190</v>
      </c>
      <c r="H20">
        <v>1370</v>
      </c>
      <c r="L20">
        <v>1200</v>
      </c>
      <c r="M20">
        <v>1242</v>
      </c>
    </row>
    <row r="21" spans="1:13" x14ac:dyDescent="0.25">
      <c r="A21" t="s">
        <v>33</v>
      </c>
      <c r="B21">
        <v>1236</v>
      </c>
      <c r="C21">
        <v>1180</v>
      </c>
      <c r="D21">
        <v>1233</v>
      </c>
      <c r="E21">
        <v>1150</v>
      </c>
      <c r="F21">
        <v>1184</v>
      </c>
      <c r="G21">
        <v>1120</v>
      </c>
      <c r="H21">
        <v>1370</v>
      </c>
      <c r="L21">
        <v>1200</v>
      </c>
      <c r="M21">
        <v>1233</v>
      </c>
    </row>
    <row r="22" spans="1:13" x14ac:dyDescent="0.25">
      <c r="A22" t="s">
        <v>34</v>
      </c>
      <c r="B22">
        <v>-2.6</v>
      </c>
      <c r="C22">
        <v>-2.6</v>
      </c>
      <c r="D22">
        <f>C22*1.05</f>
        <v>-2.7300000000000004</v>
      </c>
      <c r="E22">
        <f>B22*0.95</f>
        <v>-2.4699999999999998</v>
      </c>
      <c r="F22">
        <f>C22*1.075</f>
        <v>-2.7949999999999999</v>
      </c>
      <c r="G22">
        <f>C22*0.9</f>
        <v>-2.3400000000000003</v>
      </c>
      <c r="H22">
        <f>E22</f>
        <v>-2.4699999999999998</v>
      </c>
      <c r="I22">
        <f>C22*1.025</f>
        <v>-2.665</v>
      </c>
      <c r="J22">
        <f>H22</f>
        <v>-2.4699999999999998</v>
      </c>
      <c r="K22">
        <f>C22</f>
        <v>-2.6</v>
      </c>
      <c r="L22">
        <f>K22</f>
        <v>-2.6</v>
      </c>
      <c r="M22">
        <v>0.05</v>
      </c>
    </row>
    <row r="23" spans="1:13" x14ac:dyDescent="0.25">
      <c r="A23" t="s">
        <v>35</v>
      </c>
      <c r="B23">
        <v>0.88</v>
      </c>
      <c r="C23">
        <v>0.88</v>
      </c>
      <c r="D23">
        <f>C23*0.95</f>
        <v>0.83599999999999997</v>
      </c>
      <c r="E23">
        <f>B23*1.05</f>
        <v>0.92400000000000004</v>
      </c>
      <c r="F23">
        <f>C23*0.925</f>
        <v>0.81400000000000006</v>
      </c>
      <c r="G23">
        <f>C23*1.1</f>
        <v>0.96800000000000008</v>
      </c>
      <c r="H23">
        <f>E23</f>
        <v>0.92400000000000004</v>
      </c>
      <c r="I23">
        <f>C23*0.975</f>
        <v>0.85799999999999998</v>
      </c>
      <c r="J23">
        <f>H23</f>
        <v>0.92400000000000004</v>
      </c>
      <c r="K23">
        <f>B23</f>
        <v>0.88</v>
      </c>
      <c r="L23">
        <f>K23</f>
        <v>0.88</v>
      </c>
      <c r="M23"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F2DA-0258-40A8-AB75-230BBDC796E5}">
  <dimension ref="A1"/>
  <sheetViews>
    <sheetView topLeftCell="Q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4728-F193-4379-B37E-F9E051398891}">
  <dimension ref="A1:C11"/>
  <sheetViews>
    <sheetView topLeftCell="B1" workbookViewId="0">
      <selection activeCell="G6" sqref="G6"/>
    </sheetView>
  </sheetViews>
  <sheetFormatPr defaultRowHeight="15" x14ac:dyDescent="0.25"/>
  <sheetData>
    <row r="1" spans="1:3" x14ac:dyDescent="0.25">
      <c r="A1" s="7" t="s">
        <v>65</v>
      </c>
      <c r="B1" s="7"/>
      <c r="C1" s="7"/>
    </row>
    <row r="2" spans="1:3" x14ac:dyDescent="0.25">
      <c r="A2" t="s">
        <v>71</v>
      </c>
      <c r="B2" t="s">
        <v>72</v>
      </c>
      <c r="C2" t="s">
        <v>73</v>
      </c>
    </row>
    <row r="3" spans="1:3" x14ac:dyDescent="0.25">
      <c r="A3">
        <v>100</v>
      </c>
      <c r="B3">
        <v>3.34</v>
      </c>
      <c r="C3">
        <v>35.047899999999998</v>
      </c>
    </row>
    <row r="4" spans="1:3" x14ac:dyDescent="0.25">
      <c r="A4">
        <v>500</v>
      </c>
      <c r="B4">
        <v>11.38</v>
      </c>
      <c r="C4">
        <v>55.148400000000002</v>
      </c>
    </row>
    <row r="5" spans="1:3" x14ac:dyDescent="0.25">
      <c r="A5">
        <v>1000</v>
      </c>
      <c r="B5">
        <v>21.48</v>
      </c>
      <c r="C5">
        <v>65.289000000000001</v>
      </c>
    </row>
    <row r="6" spans="1:3" x14ac:dyDescent="0.25">
      <c r="A6">
        <v>2000</v>
      </c>
      <c r="B6">
        <v>41.17</v>
      </c>
      <c r="C6">
        <v>70.959800000000001</v>
      </c>
    </row>
    <row r="7" spans="1:3" x14ac:dyDescent="0.25">
      <c r="A7">
        <v>3000</v>
      </c>
      <c r="B7">
        <v>60.77</v>
      </c>
      <c r="C7">
        <v>72.983699999999999</v>
      </c>
    </row>
    <row r="8" spans="1:3" x14ac:dyDescent="0.25">
      <c r="A8">
        <v>4000</v>
      </c>
      <c r="B8">
        <v>80.33</v>
      </c>
      <c r="C8">
        <v>74.167900000000003</v>
      </c>
    </row>
    <row r="9" spans="1:3" x14ac:dyDescent="0.25">
      <c r="A9">
        <v>6000</v>
      </c>
      <c r="B9">
        <v>120.13</v>
      </c>
      <c r="C9">
        <v>75.732100000000003</v>
      </c>
    </row>
    <row r="10" spans="1:3" x14ac:dyDescent="0.25">
      <c r="A10">
        <v>8000</v>
      </c>
      <c r="B10">
        <v>158.81</v>
      </c>
      <c r="C10">
        <v>76.655900000000003</v>
      </c>
    </row>
    <row r="11" spans="1:3" x14ac:dyDescent="0.25">
      <c r="A11">
        <v>10000</v>
      </c>
      <c r="B11">
        <v>197.58</v>
      </c>
      <c r="C11">
        <v>77.244399999999999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9064-E0AF-4CF9-AF01-F74BDBF81882}">
  <dimension ref="A1:B6"/>
  <sheetViews>
    <sheetView workbookViewId="0">
      <selection activeCell="B4" sqref="B4"/>
    </sheetView>
  </sheetViews>
  <sheetFormatPr defaultRowHeight="15" x14ac:dyDescent="0.25"/>
  <cols>
    <col min="1" max="1" width="23.28515625" bestFit="1" customWidth="1"/>
  </cols>
  <sheetData>
    <row r="1" spans="1:2" x14ac:dyDescent="0.25">
      <c r="A1" s="1" t="s">
        <v>36</v>
      </c>
      <c r="B1" s="2">
        <v>33</v>
      </c>
    </row>
    <row r="2" spans="1:2" x14ac:dyDescent="0.25">
      <c r="A2" s="3" t="s">
        <v>37</v>
      </c>
      <c r="B2" s="4">
        <v>0.4642</v>
      </c>
    </row>
    <row r="3" spans="1:2" x14ac:dyDescent="0.25">
      <c r="A3" s="3" t="s">
        <v>38</v>
      </c>
      <c r="B3" s="4">
        <v>6000</v>
      </c>
    </row>
    <row r="4" spans="1:2" x14ac:dyDescent="0.25">
      <c r="A4" s="3" t="s">
        <v>39</v>
      </c>
      <c r="B4" s="4">
        <f>B2*PI()</f>
        <v>1.458327309796382</v>
      </c>
    </row>
    <row r="5" spans="1:2" x14ac:dyDescent="0.25">
      <c r="A5" s="3" t="s">
        <v>40</v>
      </c>
      <c r="B5" s="4">
        <f>B1/B4 * 60</f>
        <v>1357.7198936749364</v>
      </c>
    </row>
    <row r="6" spans="1:2" ht="15.75" thickBot="1" x14ac:dyDescent="0.3">
      <c r="A6" s="5" t="s">
        <v>41</v>
      </c>
      <c r="B6" s="6">
        <f>B3/B5</f>
        <v>4.4191736660496428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25E1-C52E-4E06-A64C-D3D20FDEC8EA}">
  <dimension ref="A1:C9"/>
  <sheetViews>
    <sheetView workbookViewId="0">
      <selection activeCell="B1" sqref="B1:B5"/>
    </sheetView>
  </sheetViews>
  <sheetFormatPr defaultRowHeight="15" x14ac:dyDescent="0.25"/>
  <sheetData>
    <row r="1" spans="1:3" x14ac:dyDescent="0.25">
      <c r="A1">
        <v>8000</v>
      </c>
      <c r="B1">
        <v>80000</v>
      </c>
      <c r="C1">
        <f>B1*9.5488/A1</f>
        <v>95.488</v>
      </c>
    </row>
    <row r="2" spans="1:3" x14ac:dyDescent="0.25">
      <c r="A2">
        <v>9000</v>
      </c>
      <c r="B2">
        <v>80000</v>
      </c>
      <c r="C2">
        <f t="shared" ref="C2:C9" si="0">B2*9.5488/A2</f>
        <v>84.87822222222222</v>
      </c>
    </row>
    <row r="3" spans="1:3" x14ac:dyDescent="0.25">
      <c r="A3">
        <v>10000</v>
      </c>
      <c r="B3">
        <v>80000</v>
      </c>
      <c r="C3">
        <f t="shared" si="0"/>
        <v>76.3904</v>
      </c>
    </row>
    <row r="4" spans="1:3" x14ac:dyDescent="0.25">
      <c r="A4">
        <v>11000</v>
      </c>
      <c r="B4">
        <v>80000</v>
      </c>
      <c r="C4">
        <f t="shared" si="0"/>
        <v>69.445818181818183</v>
      </c>
    </row>
    <row r="5" spans="1:3" x14ac:dyDescent="0.25">
      <c r="A5">
        <v>12000</v>
      </c>
      <c r="B5">
        <v>80000</v>
      </c>
      <c r="C5">
        <f t="shared" si="0"/>
        <v>63.658666666666669</v>
      </c>
    </row>
    <row r="6" spans="1:3" x14ac:dyDescent="0.25">
      <c r="A6">
        <v>13000</v>
      </c>
      <c r="B6">
        <v>80450</v>
      </c>
      <c r="C6">
        <f t="shared" si="0"/>
        <v>59.092381538461538</v>
      </c>
    </row>
    <row r="7" spans="1:3" x14ac:dyDescent="0.25">
      <c r="A7">
        <v>10000</v>
      </c>
      <c r="B7">
        <v>70000</v>
      </c>
      <c r="C7">
        <f t="shared" si="0"/>
        <v>66.8416</v>
      </c>
    </row>
    <row r="8" spans="1:3" x14ac:dyDescent="0.25">
      <c r="A8">
        <v>10000</v>
      </c>
      <c r="C8">
        <f t="shared" si="0"/>
        <v>0</v>
      </c>
    </row>
    <row r="9" spans="1:3" x14ac:dyDescent="0.25">
      <c r="A9">
        <v>10000</v>
      </c>
      <c r="C9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4D66-94E8-437F-AA82-54B172006319}">
  <dimension ref="A1:J20"/>
  <sheetViews>
    <sheetView topLeftCell="B1" workbookViewId="0">
      <selection activeCell="G9" sqref="G9"/>
    </sheetView>
  </sheetViews>
  <sheetFormatPr defaultRowHeight="15" x14ac:dyDescent="0.25"/>
  <cols>
    <col min="2" max="2" width="9" customWidth="1"/>
    <col min="3" max="3" width="31.28515625" customWidth="1"/>
    <col min="4" max="4" width="7.42578125" bestFit="1" customWidth="1"/>
    <col min="5" max="5" width="17.5703125" bestFit="1" customWidth="1"/>
    <col min="6" max="6" width="14" bestFit="1" customWidth="1"/>
    <col min="7" max="7" width="11.42578125" bestFit="1" customWidth="1"/>
    <col min="8" max="8" width="15.85546875" bestFit="1" customWidth="1"/>
    <col min="9" max="9" width="14.7109375" bestFit="1" customWidth="1"/>
    <col min="10" max="10" width="10.7109375" bestFit="1" customWidth="1"/>
  </cols>
  <sheetData>
    <row r="1" spans="1:10" x14ac:dyDescent="0.25">
      <c r="A1" t="s">
        <v>13</v>
      </c>
      <c r="B1" t="s">
        <v>15</v>
      </c>
      <c r="C1" t="s">
        <v>0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5">
      <c r="A2">
        <v>2023</v>
      </c>
      <c r="B2" t="s">
        <v>16</v>
      </c>
      <c r="C2" t="s">
        <v>49</v>
      </c>
      <c r="E2">
        <v>69.3</v>
      </c>
      <c r="F2">
        <v>75</v>
      </c>
      <c r="G2">
        <v>83.5</v>
      </c>
      <c r="H2">
        <v>17</v>
      </c>
      <c r="I2">
        <v>90.4</v>
      </c>
      <c r="J2">
        <f>SUM(E2:H2)</f>
        <v>244.8</v>
      </c>
    </row>
    <row r="3" spans="1:10" x14ac:dyDescent="0.25">
      <c r="A3">
        <v>2023</v>
      </c>
      <c r="B3" t="s">
        <v>16</v>
      </c>
      <c r="C3" t="s">
        <v>2</v>
      </c>
      <c r="E3">
        <v>16.2</v>
      </c>
      <c r="F3">
        <v>50.2</v>
      </c>
      <c r="G3">
        <v>83.8</v>
      </c>
      <c r="H3">
        <v>95.3</v>
      </c>
      <c r="I3">
        <v>99</v>
      </c>
      <c r="J3">
        <f>SUM(E3:H3)</f>
        <v>245.5</v>
      </c>
    </row>
    <row r="4" spans="1:10" x14ac:dyDescent="0.25">
      <c r="A4">
        <v>2023</v>
      </c>
      <c r="B4" t="s">
        <v>17</v>
      </c>
      <c r="C4" t="s">
        <v>3</v>
      </c>
      <c r="E4">
        <v>74</v>
      </c>
      <c r="F4">
        <v>63.3</v>
      </c>
      <c r="G4">
        <v>98.3</v>
      </c>
      <c r="H4">
        <v>250</v>
      </c>
      <c r="I4">
        <v>57.7</v>
      </c>
    </row>
    <row r="5" spans="1:10" x14ac:dyDescent="0.25">
      <c r="A5">
        <v>2023</v>
      </c>
      <c r="B5" t="s">
        <v>17</v>
      </c>
      <c r="C5" t="s">
        <v>4</v>
      </c>
      <c r="E5">
        <v>56.8</v>
      </c>
      <c r="F5">
        <v>43</v>
      </c>
      <c r="G5">
        <v>73.3</v>
      </c>
      <c r="H5">
        <v>237.1</v>
      </c>
      <c r="I5">
        <v>49.6</v>
      </c>
    </row>
    <row r="6" spans="1:10" x14ac:dyDescent="0.25">
      <c r="A6">
        <v>2023</v>
      </c>
      <c r="B6" t="s">
        <v>17</v>
      </c>
      <c r="C6" t="s">
        <v>5</v>
      </c>
      <c r="E6">
        <v>42.1</v>
      </c>
      <c r="F6">
        <v>51.7</v>
      </c>
      <c r="G6">
        <v>100</v>
      </c>
      <c r="H6">
        <v>159.19999999999999</v>
      </c>
      <c r="I6">
        <v>47.6</v>
      </c>
    </row>
    <row r="7" spans="1:10" x14ac:dyDescent="0.25">
      <c r="A7">
        <v>2023</v>
      </c>
      <c r="B7" t="s">
        <v>17</v>
      </c>
      <c r="C7" t="s">
        <v>6</v>
      </c>
      <c r="E7">
        <v>41.6</v>
      </c>
      <c r="F7">
        <v>5</v>
      </c>
      <c r="G7">
        <v>63.4</v>
      </c>
      <c r="H7">
        <v>198.4</v>
      </c>
      <c r="I7">
        <v>70.099999999999994</v>
      </c>
    </row>
    <row r="8" spans="1:10" x14ac:dyDescent="0.25">
      <c r="A8">
        <v>2023</v>
      </c>
      <c r="B8" t="s">
        <v>17</v>
      </c>
      <c r="C8" t="s">
        <v>7</v>
      </c>
      <c r="E8">
        <v>29.6</v>
      </c>
      <c r="F8">
        <v>18.399999999999999</v>
      </c>
      <c r="G8">
        <v>71.8</v>
      </c>
      <c r="H8">
        <v>189.1</v>
      </c>
      <c r="I8">
        <v>40.1</v>
      </c>
    </row>
    <row r="9" spans="1:10" x14ac:dyDescent="0.25">
      <c r="A9">
        <v>2023</v>
      </c>
      <c r="B9" t="s">
        <v>17</v>
      </c>
      <c r="C9" t="s">
        <v>8</v>
      </c>
      <c r="E9">
        <v>44.3</v>
      </c>
      <c r="F9">
        <v>18</v>
      </c>
      <c r="G9">
        <v>92.7</v>
      </c>
      <c r="H9">
        <v>20</v>
      </c>
      <c r="I9">
        <v>34.299999999999997</v>
      </c>
    </row>
    <row r="10" spans="1:10" x14ac:dyDescent="0.25">
      <c r="A10">
        <v>2023</v>
      </c>
      <c r="B10" t="s">
        <v>17</v>
      </c>
      <c r="C10" t="s">
        <v>9</v>
      </c>
      <c r="D10">
        <v>-10</v>
      </c>
      <c r="E10">
        <v>22.3</v>
      </c>
      <c r="F10">
        <v>34.200000000000003</v>
      </c>
      <c r="G10">
        <v>73.099999999999994</v>
      </c>
    </row>
    <row r="11" spans="1:10" x14ac:dyDescent="0.25">
      <c r="A11">
        <v>2023</v>
      </c>
      <c r="B11" t="s">
        <v>17</v>
      </c>
      <c r="C11" t="s">
        <v>10</v>
      </c>
      <c r="E11">
        <v>25.3</v>
      </c>
      <c r="F11">
        <v>40.9</v>
      </c>
      <c r="G11">
        <v>82.8</v>
      </c>
      <c r="H11">
        <v>3</v>
      </c>
    </row>
    <row r="12" spans="1:10" x14ac:dyDescent="0.25">
      <c r="A12">
        <v>2021</v>
      </c>
      <c r="B12" t="s">
        <v>16</v>
      </c>
      <c r="C12" t="s">
        <v>50</v>
      </c>
      <c r="G12">
        <v>33.700000000000003</v>
      </c>
      <c r="H12">
        <v>168.9</v>
      </c>
      <c r="I12">
        <v>95.9</v>
      </c>
      <c r="J12">
        <f>SUM(E12:H12)</f>
        <v>202.60000000000002</v>
      </c>
    </row>
    <row r="13" spans="1:10" x14ac:dyDescent="0.25">
      <c r="A13">
        <v>2019</v>
      </c>
      <c r="B13" t="s">
        <v>16</v>
      </c>
      <c r="C13" t="s">
        <v>51</v>
      </c>
      <c r="E13">
        <v>44.4</v>
      </c>
      <c r="F13">
        <v>19.100000000000001</v>
      </c>
      <c r="G13">
        <v>40.799999999999997</v>
      </c>
      <c r="H13">
        <v>60.1</v>
      </c>
      <c r="I13">
        <v>100</v>
      </c>
      <c r="J13">
        <f t="shared" ref="J13:J20" si="0">SUM(E13:H13)</f>
        <v>164.4</v>
      </c>
    </row>
    <row r="14" spans="1:10" x14ac:dyDescent="0.25">
      <c r="A14">
        <v>2018</v>
      </c>
      <c r="B14" t="s">
        <v>16</v>
      </c>
      <c r="C14" t="s">
        <v>52</v>
      </c>
      <c r="D14">
        <v>-8</v>
      </c>
      <c r="E14">
        <v>44.2</v>
      </c>
      <c r="F14">
        <v>9.1999999999999993</v>
      </c>
      <c r="G14">
        <v>42.7</v>
      </c>
      <c r="H14">
        <v>31</v>
      </c>
      <c r="I14">
        <v>87.6</v>
      </c>
      <c r="J14">
        <f t="shared" si="0"/>
        <v>127.10000000000001</v>
      </c>
    </row>
    <row r="15" spans="1:10" x14ac:dyDescent="0.25">
      <c r="A15">
        <v>2018</v>
      </c>
      <c r="B15" t="s">
        <v>16</v>
      </c>
      <c r="C15" t="s">
        <v>53</v>
      </c>
      <c r="D15">
        <v>-4</v>
      </c>
      <c r="E15">
        <v>46.7</v>
      </c>
      <c r="F15">
        <v>39.299999999999997</v>
      </c>
      <c r="G15">
        <v>95</v>
      </c>
      <c r="H15">
        <v>235.8</v>
      </c>
      <c r="I15">
        <v>70.3</v>
      </c>
      <c r="J15">
        <f t="shared" si="0"/>
        <v>416.8</v>
      </c>
    </row>
    <row r="16" spans="1:10" x14ac:dyDescent="0.25">
      <c r="A16">
        <v>2018</v>
      </c>
      <c r="B16" t="s">
        <v>16</v>
      </c>
      <c r="C16" t="s">
        <v>54</v>
      </c>
      <c r="D16">
        <v>-100</v>
      </c>
      <c r="E16">
        <v>75</v>
      </c>
      <c r="F16">
        <v>50</v>
      </c>
      <c r="G16">
        <v>150</v>
      </c>
      <c r="H16">
        <v>128.4</v>
      </c>
      <c r="I16">
        <v>100</v>
      </c>
      <c r="J16">
        <f t="shared" si="0"/>
        <v>403.4</v>
      </c>
    </row>
    <row r="17" spans="1:10" x14ac:dyDescent="0.25">
      <c r="A17">
        <v>2018</v>
      </c>
      <c r="B17" t="s">
        <v>16</v>
      </c>
      <c r="C17" t="s">
        <v>55</v>
      </c>
      <c r="E17">
        <v>54.7</v>
      </c>
      <c r="F17">
        <v>23.9</v>
      </c>
      <c r="H17">
        <v>10</v>
      </c>
      <c r="J17">
        <f t="shared" si="0"/>
        <v>88.6</v>
      </c>
    </row>
    <row r="18" spans="1:10" x14ac:dyDescent="0.25">
      <c r="A18">
        <v>2018</v>
      </c>
      <c r="B18" t="s">
        <v>16</v>
      </c>
      <c r="C18" t="s">
        <v>51</v>
      </c>
      <c r="E18">
        <v>25.1</v>
      </c>
      <c r="F18">
        <v>12.2</v>
      </c>
      <c r="G18">
        <v>4.5</v>
      </c>
      <c r="H18">
        <v>25</v>
      </c>
      <c r="J18">
        <f t="shared" si="0"/>
        <v>66.8</v>
      </c>
    </row>
    <row r="19" spans="1:10" x14ac:dyDescent="0.25">
      <c r="A19">
        <v>2018</v>
      </c>
      <c r="B19" t="s">
        <v>16</v>
      </c>
      <c r="C19" t="s">
        <v>56</v>
      </c>
      <c r="D19">
        <v>-14</v>
      </c>
      <c r="E19">
        <v>3.5</v>
      </c>
      <c r="F19">
        <v>4.5999999999999996</v>
      </c>
      <c r="G19">
        <v>4.5</v>
      </c>
      <c r="H19">
        <v>4</v>
      </c>
      <c r="J19">
        <f t="shared" si="0"/>
        <v>16.600000000000001</v>
      </c>
    </row>
    <row r="20" spans="1:10" x14ac:dyDescent="0.25">
      <c r="A20">
        <v>2017</v>
      </c>
      <c r="B20" t="s">
        <v>16</v>
      </c>
      <c r="C20" t="s">
        <v>57</v>
      </c>
      <c r="G20">
        <v>7.5</v>
      </c>
      <c r="H20">
        <v>11</v>
      </c>
      <c r="J20">
        <f t="shared" si="0"/>
        <v>18.5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6BCF-E897-4664-80D7-46E2EA089FBF}">
  <dimension ref="A1:K13"/>
  <sheetViews>
    <sheetView workbookViewId="0">
      <selection activeCell="D26" sqref="D26"/>
    </sheetView>
  </sheetViews>
  <sheetFormatPr defaultRowHeight="15" x14ac:dyDescent="0.25"/>
  <cols>
    <col min="1" max="1" width="14.85546875" customWidth="1"/>
    <col min="2" max="2" width="16.28515625" bestFit="1" customWidth="1"/>
    <col min="3" max="3" width="16.28515625" customWidth="1"/>
    <col min="4" max="4" width="12.7109375" bestFit="1" customWidth="1"/>
    <col min="5" max="5" width="10.7109375" bestFit="1" customWidth="1"/>
    <col min="6" max="6" width="14.7109375" bestFit="1" customWidth="1"/>
    <col min="7" max="7" width="9" customWidth="1"/>
    <col min="8" max="8" width="9.85546875" bestFit="1" customWidth="1"/>
  </cols>
  <sheetData>
    <row r="1" spans="1:11" x14ac:dyDescent="0.25">
      <c r="A1" t="s">
        <v>0</v>
      </c>
      <c r="B1" t="s">
        <v>58</v>
      </c>
      <c r="D1" t="s">
        <v>59</v>
      </c>
      <c r="E1" t="s">
        <v>60</v>
      </c>
      <c r="F1" t="s">
        <v>43</v>
      </c>
      <c r="G1" t="s">
        <v>61</v>
      </c>
      <c r="H1" t="s">
        <v>45</v>
      </c>
      <c r="J1" t="s">
        <v>62</v>
      </c>
    </row>
    <row r="2" spans="1:11" x14ac:dyDescent="0.25">
      <c r="A2" t="s">
        <v>1</v>
      </c>
      <c r="B2">
        <v>6.5144000000000002</v>
      </c>
      <c r="E2">
        <v>70.841300000000004</v>
      </c>
      <c r="F2">
        <f t="shared" ref="F2:F8" si="0">65*(($K$3/B2 - 1)/($K$3/$K$2 - 1))</f>
        <v>-1.8538929141594063</v>
      </c>
      <c r="H2">
        <f t="shared" ref="H2:H8" si="1">65*(($K$7/E2 -1)/($K$7/$K$6 -1))</f>
        <v>43.862878480961413</v>
      </c>
      <c r="J2" t="s">
        <v>63</v>
      </c>
      <c r="K2">
        <v>4.2809999999999997</v>
      </c>
    </row>
    <row r="3" spans="1:11" x14ac:dyDescent="0.25">
      <c r="A3" t="s">
        <v>2</v>
      </c>
      <c r="B3">
        <v>5.6632999999999996</v>
      </c>
      <c r="E3">
        <v>65.596800000000002</v>
      </c>
      <c r="F3">
        <f t="shared" si="0"/>
        <v>17.404340225663503</v>
      </c>
      <c r="H3">
        <f t="shared" si="1"/>
        <v>58.918151833964799</v>
      </c>
      <c r="J3" t="s">
        <v>64</v>
      </c>
      <c r="K3">
        <f>1.5*K2</f>
        <v>6.4215</v>
      </c>
    </row>
    <row r="4" spans="1:11" x14ac:dyDescent="0.25">
      <c r="A4" t="s">
        <v>3</v>
      </c>
      <c r="B4">
        <v>5.7037000000000004</v>
      </c>
      <c r="E4">
        <v>67.151399999999995</v>
      </c>
      <c r="F4">
        <f t="shared" si="0"/>
        <v>16.360257376790489</v>
      </c>
      <c r="H4">
        <f t="shared" si="1"/>
        <v>54.210171178693074</v>
      </c>
    </row>
    <row r="5" spans="1:11" x14ac:dyDescent="0.25">
      <c r="A5" t="s">
        <v>4</v>
      </c>
      <c r="B5">
        <v>5.8247</v>
      </c>
      <c r="E5">
        <v>67.471999999999994</v>
      </c>
      <c r="F5">
        <f t="shared" si="0"/>
        <v>13.319827630607591</v>
      </c>
      <c r="H5">
        <f t="shared" si="1"/>
        <v>53.266243775195633</v>
      </c>
      <c r="J5" t="s">
        <v>65</v>
      </c>
    </row>
    <row r="6" spans="1:11" x14ac:dyDescent="0.25">
      <c r="A6" t="s">
        <v>5</v>
      </c>
      <c r="B6">
        <v>5.2320000000000002</v>
      </c>
      <c r="E6">
        <v>69.588800000000006</v>
      </c>
      <c r="F6">
        <f t="shared" si="0"/>
        <v>29.555619266055025</v>
      </c>
      <c r="H6">
        <f t="shared" si="1"/>
        <v>47.252144023176115</v>
      </c>
      <c r="J6" t="s">
        <v>63</v>
      </c>
      <c r="K6">
        <v>63.692</v>
      </c>
    </row>
    <row r="7" spans="1:11" x14ac:dyDescent="0.25">
      <c r="A7" t="s">
        <v>6</v>
      </c>
      <c r="B7">
        <v>5.9268000000000001</v>
      </c>
      <c r="E7">
        <v>66.896000000000001</v>
      </c>
      <c r="F7">
        <f t="shared" si="0"/>
        <v>10.850880745090091</v>
      </c>
      <c r="H7">
        <f t="shared" si="1"/>
        <v>54.968607988519494</v>
      </c>
      <c r="J7" t="s">
        <v>64</v>
      </c>
      <c r="K7">
        <f>1.45*K6</f>
        <v>92.353399999999993</v>
      </c>
    </row>
    <row r="8" spans="1:11" x14ac:dyDescent="0.25">
      <c r="A8" t="s">
        <v>7</v>
      </c>
      <c r="B8">
        <v>6.4179000000000004</v>
      </c>
      <c r="E8">
        <v>68.478200000000001</v>
      </c>
      <c r="F8">
        <f t="shared" si="0"/>
        <v>7.2921048941230193E-2</v>
      </c>
      <c r="H8">
        <f t="shared" si="1"/>
        <v>50.361136828947018</v>
      </c>
    </row>
    <row r="9" spans="1:11" x14ac:dyDescent="0.25">
      <c r="A9" t="s">
        <v>8</v>
      </c>
    </row>
    <row r="10" spans="1:11" x14ac:dyDescent="0.25">
      <c r="A10" t="s">
        <v>9</v>
      </c>
    </row>
    <row r="11" spans="1:11" x14ac:dyDescent="0.25">
      <c r="A11" t="s">
        <v>10</v>
      </c>
    </row>
    <row r="12" spans="1:11" x14ac:dyDescent="0.25">
      <c r="A12" t="s">
        <v>11</v>
      </c>
    </row>
    <row r="13" spans="1:11" x14ac:dyDescent="0.25">
      <c r="A1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D6B6-3137-4ADB-9764-EFB9A7E49A56}">
  <dimension ref="A1:M10"/>
  <sheetViews>
    <sheetView tabSelected="1" topLeftCell="E1" zoomScale="160" zoomScaleNormal="160" workbookViewId="0">
      <selection activeCell="J2" sqref="J2:J8"/>
    </sheetView>
  </sheetViews>
  <sheetFormatPr defaultRowHeight="15" x14ac:dyDescent="0.25"/>
  <cols>
    <col min="2" max="2" width="23.140625" bestFit="1" customWidth="1"/>
    <col min="3" max="3" width="23" customWidth="1"/>
    <col min="4" max="4" width="18.7109375" customWidth="1"/>
    <col min="5" max="5" width="25.5703125" bestFit="1" customWidth="1"/>
    <col min="10" max="10" width="12" bestFit="1" customWidth="1"/>
  </cols>
  <sheetData>
    <row r="1" spans="1:13" x14ac:dyDescent="0.25">
      <c r="A1" t="s">
        <v>15</v>
      </c>
      <c r="B1" t="s">
        <v>0</v>
      </c>
      <c r="C1" t="s">
        <v>78</v>
      </c>
      <c r="D1" t="s">
        <v>79</v>
      </c>
      <c r="E1" t="s">
        <v>77</v>
      </c>
      <c r="F1" t="s">
        <v>76</v>
      </c>
      <c r="G1" t="s">
        <v>81</v>
      </c>
      <c r="I1" t="s">
        <v>80</v>
      </c>
      <c r="J1" t="s">
        <v>82</v>
      </c>
    </row>
    <row r="2" spans="1:13" x14ac:dyDescent="0.25">
      <c r="A2" t="s">
        <v>16</v>
      </c>
      <c r="B2" t="s">
        <v>49</v>
      </c>
      <c r="C2">
        <v>5.41</v>
      </c>
      <c r="D2">
        <v>5.22</v>
      </c>
      <c r="E2">
        <v>4.4109999999999996</v>
      </c>
      <c r="F2">
        <v>5.806</v>
      </c>
      <c r="G2">
        <f>D2*1.15</f>
        <v>6.0029999999999992</v>
      </c>
      <c r="I2">
        <f>(D2-F2)^2</f>
        <v>0.34339600000000037</v>
      </c>
      <c r="J2">
        <f ca="1">IF(A2="EV",0.05,0.1)*RAND()*G2+0.1</f>
        <v>0.19395730235585806</v>
      </c>
      <c r="L2">
        <v>0</v>
      </c>
      <c r="M2">
        <v>0</v>
      </c>
    </row>
    <row r="3" spans="1:13" x14ac:dyDescent="0.25">
      <c r="A3" t="s">
        <v>16</v>
      </c>
      <c r="B3" t="s">
        <v>2</v>
      </c>
      <c r="C3">
        <v>4.6500000000000004</v>
      </c>
      <c r="D3">
        <v>4.99</v>
      </c>
      <c r="E3">
        <v>5.9109999999999996</v>
      </c>
      <c r="F3">
        <v>6.2160000000000002</v>
      </c>
      <c r="G3">
        <f>D3*1.15</f>
        <v>5.7385000000000002</v>
      </c>
      <c r="I3">
        <f t="shared" ref="I3:I8" si="0">(D3-F3)^2</f>
        <v>1.5030759999999999</v>
      </c>
      <c r="J3">
        <f t="shared" ref="J3:J8" ca="1" si="1">IF(A3="EV",0.05,0.1)*RAND()*G3+0.1</f>
        <v>0.28871116105775441</v>
      </c>
      <c r="L3">
        <v>8</v>
      </c>
      <c r="M3">
        <v>8</v>
      </c>
    </row>
    <row r="4" spans="1:13" x14ac:dyDescent="0.25">
      <c r="A4" t="s">
        <v>17</v>
      </c>
      <c r="B4" t="s">
        <v>3</v>
      </c>
      <c r="C4">
        <v>4.6100000000000003</v>
      </c>
      <c r="D4">
        <v>4.95</v>
      </c>
      <c r="E4">
        <v>4.2809999999999997</v>
      </c>
      <c r="F4">
        <v>5.9889999999999999</v>
      </c>
      <c r="G4">
        <f>D4*1.15</f>
        <v>5.6924999999999999</v>
      </c>
      <c r="I4">
        <f t="shared" si="0"/>
        <v>1.0795209999999993</v>
      </c>
      <c r="J4">
        <f t="shared" ca="1" si="1"/>
        <v>0.47035987693859915</v>
      </c>
    </row>
    <row r="5" spans="1:13" x14ac:dyDescent="0.25">
      <c r="A5" t="s">
        <v>17</v>
      </c>
      <c r="B5" t="s">
        <v>4</v>
      </c>
      <c r="C5">
        <v>4.72</v>
      </c>
      <c r="D5">
        <v>5.24</v>
      </c>
      <c r="E5">
        <v>4.6680000000000001</v>
      </c>
      <c r="F5">
        <v>6.3520000000000003</v>
      </c>
      <c r="G5">
        <f>D5*1.15</f>
        <v>6.0259999999999998</v>
      </c>
      <c r="I5">
        <f t="shared" si="0"/>
        <v>1.2365440000000003</v>
      </c>
      <c r="J5">
        <f t="shared" ca="1" si="1"/>
        <v>0.55283534384490496</v>
      </c>
      <c r="L5">
        <v>0</v>
      </c>
      <c r="M5">
        <v>0</v>
      </c>
    </row>
    <row r="6" spans="1:13" x14ac:dyDescent="0.25">
      <c r="A6" t="s">
        <v>17</v>
      </c>
      <c r="B6" t="s">
        <v>5</v>
      </c>
      <c r="C6">
        <v>4.62</v>
      </c>
      <c r="D6">
        <v>5.56</v>
      </c>
      <c r="E6">
        <v>4.9969999999999999</v>
      </c>
      <c r="F6">
        <v>6.1879999999999997</v>
      </c>
      <c r="G6">
        <f>D6*1.15</f>
        <v>6.3939999999999992</v>
      </c>
      <c r="I6">
        <f t="shared" si="0"/>
        <v>0.39438400000000012</v>
      </c>
      <c r="J6">
        <f t="shared" ca="1" si="1"/>
        <v>0.63412804654951926</v>
      </c>
      <c r="L6">
        <v>6.5</v>
      </c>
      <c r="M6">
        <v>6.5</v>
      </c>
    </row>
    <row r="7" spans="1:13" x14ac:dyDescent="0.25">
      <c r="A7" t="s">
        <v>17</v>
      </c>
      <c r="B7" t="s">
        <v>6</v>
      </c>
      <c r="C7">
        <v>4.68</v>
      </c>
      <c r="D7">
        <v>5.6</v>
      </c>
      <c r="E7">
        <v>5.0119999999999996</v>
      </c>
      <c r="F7">
        <v>7.3780000000000001</v>
      </c>
      <c r="G7">
        <f>D7*1.15</f>
        <v>6.4399999999999995</v>
      </c>
      <c r="I7">
        <f>(D7-F7)^2</f>
        <v>3.1612840000000015</v>
      </c>
      <c r="J7">
        <f t="shared" ca="1" si="1"/>
        <v>0.72156039572080855</v>
      </c>
    </row>
    <row r="8" spans="1:13" x14ac:dyDescent="0.25">
      <c r="A8" t="s">
        <v>17</v>
      </c>
      <c r="B8" t="s">
        <v>7</v>
      </c>
      <c r="C8">
        <v>5.62</v>
      </c>
      <c r="D8">
        <v>5.48</v>
      </c>
      <c r="E8">
        <v>5.4</v>
      </c>
      <c r="F8">
        <v>6.8949999999999996</v>
      </c>
      <c r="G8">
        <f>D8*1.15</f>
        <v>6.3019999999999996</v>
      </c>
      <c r="I8">
        <f t="shared" si="0"/>
        <v>2.0022249999999975</v>
      </c>
      <c r="J8">
        <f t="shared" ca="1" si="1"/>
        <v>0.62356818847353912</v>
      </c>
    </row>
    <row r="9" spans="1:13" x14ac:dyDescent="0.25">
      <c r="A9" t="s">
        <v>16</v>
      </c>
      <c r="B9" t="s">
        <v>68</v>
      </c>
      <c r="C9">
        <v>4.88</v>
      </c>
      <c r="D9">
        <v>5.42</v>
      </c>
      <c r="G9">
        <f>D9*1.15</f>
        <v>6.2329999999999997</v>
      </c>
    </row>
    <row r="10" spans="1:13" x14ac:dyDescent="0.25">
      <c r="A10" t="s">
        <v>16</v>
      </c>
      <c r="B10" t="s">
        <v>75</v>
      </c>
      <c r="C10">
        <v>4.83</v>
      </c>
      <c r="D10">
        <v>5.22</v>
      </c>
      <c r="G10">
        <f>D10*1.15</f>
        <v>6.0029999999999992</v>
      </c>
      <c r="I10">
        <f>SQRT(SUM(I2:I8))</f>
        <v>3.1177604141434601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D1F4-820C-48DC-81B7-5495E3CAB41B}">
  <dimension ref="A1:F21"/>
  <sheetViews>
    <sheetView zoomScale="160" zoomScaleNormal="160" workbookViewId="0">
      <selection activeCell="C2" sqref="C2"/>
    </sheetView>
  </sheetViews>
  <sheetFormatPr defaultRowHeight="15" x14ac:dyDescent="0.25"/>
  <cols>
    <col min="2" max="2" width="23.140625" bestFit="1" customWidth="1"/>
  </cols>
  <sheetData>
    <row r="1" spans="1:6" x14ac:dyDescent="0.25">
      <c r="A1" t="s">
        <v>15</v>
      </c>
      <c r="B1" t="s">
        <v>0</v>
      </c>
      <c r="C1" t="s">
        <v>58</v>
      </c>
      <c r="D1" t="s">
        <v>66</v>
      </c>
      <c r="F1" t="s">
        <v>67</v>
      </c>
    </row>
    <row r="2" spans="1:6" x14ac:dyDescent="0.25">
      <c r="A2" t="s">
        <v>16</v>
      </c>
      <c r="B2" t="s">
        <v>49</v>
      </c>
      <c r="C2">
        <v>4.84</v>
      </c>
      <c r="D2">
        <v>5.22</v>
      </c>
      <c r="F2">
        <v>78.3</v>
      </c>
    </row>
    <row r="3" spans="1:6" x14ac:dyDescent="0.25">
      <c r="A3" t="s">
        <v>16</v>
      </c>
      <c r="B3" t="s">
        <v>2</v>
      </c>
      <c r="C3">
        <v>4.91</v>
      </c>
      <c r="D3">
        <v>4.99</v>
      </c>
      <c r="F3">
        <v>79.83</v>
      </c>
    </row>
    <row r="4" spans="1:6" x14ac:dyDescent="0.25">
      <c r="A4" t="s">
        <v>17</v>
      </c>
      <c r="B4" t="s">
        <v>3</v>
      </c>
      <c r="C4">
        <v>4.62</v>
      </c>
      <c r="D4">
        <v>4.95</v>
      </c>
    </row>
    <row r="5" spans="1:6" x14ac:dyDescent="0.25">
      <c r="A5" t="s">
        <v>17</v>
      </c>
      <c r="B5" t="s">
        <v>4</v>
      </c>
      <c r="C5">
        <v>4.72</v>
      </c>
      <c r="D5">
        <v>5.24</v>
      </c>
    </row>
    <row r="6" spans="1:6" x14ac:dyDescent="0.25">
      <c r="A6" t="s">
        <v>17</v>
      </c>
      <c r="B6" t="s">
        <v>5</v>
      </c>
      <c r="C6">
        <v>4.6399999999999997</v>
      </c>
      <c r="D6">
        <v>5.56</v>
      </c>
    </row>
    <row r="7" spans="1:6" x14ac:dyDescent="0.25">
      <c r="A7" t="s">
        <v>17</v>
      </c>
      <c r="B7" t="s">
        <v>6</v>
      </c>
      <c r="C7">
        <v>4.68</v>
      </c>
      <c r="D7">
        <v>5.6</v>
      </c>
    </row>
    <row r="8" spans="1:6" x14ac:dyDescent="0.25">
      <c r="A8" t="s">
        <v>17</v>
      </c>
      <c r="B8" t="s">
        <v>7</v>
      </c>
      <c r="C8">
        <v>5.42</v>
      </c>
      <c r="D8">
        <v>5.48</v>
      </c>
    </row>
    <row r="9" spans="1:6" x14ac:dyDescent="0.25">
      <c r="A9" t="s">
        <v>17</v>
      </c>
      <c r="B9" t="s">
        <v>8</v>
      </c>
    </row>
    <row r="10" spans="1:6" x14ac:dyDescent="0.25">
      <c r="A10" t="s">
        <v>17</v>
      </c>
      <c r="B10" t="s">
        <v>9</v>
      </c>
    </row>
    <row r="11" spans="1:6" x14ac:dyDescent="0.25">
      <c r="A11" t="s">
        <v>17</v>
      </c>
      <c r="B11" t="s">
        <v>10</v>
      </c>
    </row>
    <row r="12" spans="1:6" x14ac:dyDescent="0.25">
      <c r="A12" t="s">
        <v>16</v>
      </c>
      <c r="B12" t="s">
        <v>50</v>
      </c>
    </row>
    <row r="13" spans="1:6" x14ac:dyDescent="0.25">
      <c r="A13" t="s">
        <v>16</v>
      </c>
      <c r="B13" t="s">
        <v>51</v>
      </c>
    </row>
    <row r="14" spans="1:6" x14ac:dyDescent="0.25">
      <c r="A14" t="s">
        <v>16</v>
      </c>
      <c r="B14" t="s">
        <v>52</v>
      </c>
    </row>
    <row r="15" spans="1:6" x14ac:dyDescent="0.25">
      <c r="A15" t="s">
        <v>16</v>
      </c>
      <c r="B15" t="s">
        <v>53</v>
      </c>
    </row>
    <row r="16" spans="1:6" x14ac:dyDescent="0.25">
      <c r="A16" t="s">
        <v>16</v>
      </c>
      <c r="B16" t="s">
        <v>54</v>
      </c>
    </row>
    <row r="17" spans="1:6" x14ac:dyDescent="0.25">
      <c r="A17" t="s">
        <v>16</v>
      </c>
      <c r="B17" t="s">
        <v>55</v>
      </c>
    </row>
    <row r="18" spans="1:6" x14ac:dyDescent="0.25">
      <c r="A18" t="s">
        <v>16</v>
      </c>
      <c r="B18" t="s">
        <v>51</v>
      </c>
    </row>
    <row r="19" spans="1:6" x14ac:dyDescent="0.25">
      <c r="A19" t="s">
        <v>16</v>
      </c>
      <c r="B19" t="s">
        <v>56</v>
      </c>
    </row>
    <row r="20" spans="1:6" x14ac:dyDescent="0.25">
      <c r="A20" t="s">
        <v>16</v>
      </c>
      <c r="B20" t="s">
        <v>57</v>
      </c>
    </row>
    <row r="21" spans="1:6" x14ac:dyDescent="0.25">
      <c r="A21" t="s">
        <v>16</v>
      </c>
      <c r="B21" t="s">
        <v>68</v>
      </c>
      <c r="C21">
        <v>5.07</v>
      </c>
      <c r="D21">
        <v>4.8600000000000003</v>
      </c>
      <c r="F21">
        <v>84.79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C718-AFC6-4109-B80B-42E2CA81681F}">
  <dimension ref="A1:F18"/>
  <sheetViews>
    <sheetView zoomScale="400" zoomScaleNormal="400" workbookViewId="0">
      <selection activeCell="D2" sqref="D2:D8"/>
    </sheetView>
  </sheetViews>
  <sheetFormatPr defaultRowHeight="15" x14ac:dyDescent="0.25"/>
  <sheetData>
    <row r="1" spans="1:6" x14ac:dyDescent="0.25">
      <c r="A1" t="s">
        <v>15</v>
      </c>
      <c r="B1" t="s">
        <v>0</v>
      </c>
      <c r="C1" t="s">
        <v>58</v>
      </c>
      <c r="D1" t="s">
        <v>69</v>
      </c>
      <c r="F1" t="s">
        <v>70</v>
      </c>
    </row>
    <row r="2" spans="1:6" x14ac:dyDescent="0.25">
      <c r="A2" t="s">
        <v>16</v>
      </c>
      <c r="B2" t="s">
        <v>49</v>
      </c>
      <c r="C2">
        <v>4.4109999999999996</v>
      </c>
      <c r="D2">
        <v>5.806</v>
      </c>
      <c r="F2">
        <f t="shared" ref="F2:F8" si="0">((57.33/D2)^2)/9.125/9.81</f>
        <v>1.0892007709059839</v>
      </c>
    </row>
    <row r="3" spans="1:6" x14ac:dyDescent="0.25">
      <c r="A3" t="s">
        <v>16</v>
      </c>
      <c r="B3" t="s">
        <v>2</v>
      </c>
      <c r="C3">
        <v>5.9109999999999996</v>
      </c>
      <c r="D3">
        <v>6.2160000000000002</v>
      </c>
      <c r="F3">
        <f t="shared" si="0"/>
        <v>0.9502546237156928</v>
      </c>
    </row>
    <row r="4" spans="1:6" x14ac:dyDescent="0.25">
      <c r="A4" t="s">
        <v>17</v>
      </c>
      <c r="B4" t="s">
        <v>3</v>
      </c>
      <c r="D4">
        <v>5.9889999999999999</v>
      </c>
      <c r="F4">
        <f t="shared" si="0"/>
        <v>1.0236544456332157</v>
      </c>
    </row>
    <row r="5" spans="1:6" x14ac:dyDescent="0.25">
      <c r="A5" t="s">
        <v>17</v>
      </c>
      <c r="B5" t="s">
        <v>4</v>
      </c>
      <c r="D5">
        <v>6.3520000000000003</v>
      </c>
      <c r="F5">
        <f t="shared" si="0"/>
        <v>0.90999922866278493</v>
      </c>
    </row>
    <row r="6" spans="1:6" x14ac:dyDescent="0.25">
      <c r="A6" t="s">
        <v>17</v>
      </c>
      <c r="B6" t="s">
        <v>5</v>
      </c>
      <c r="D6">
        <v>6.1879999999999997</v>
      </c>
      <c r="F6">
        <f t="shared" si="0"/>
        <v>0.95887366915509964</v>
      </c>
    </row>
    <row r="7" spans="1:6" x14ac:dyDescent="0.25">
      <c r="A7" t="s">
        <v>17</v>
      </c>
      <c r="B7" t="s">
        <v>6</v>
      </c>
      <c r="D7">
        <v>7.3780000000000001</v>
      </c>
      <c r="F7">
        <f t="shared" si="0"/>
        <v>0.67450426675218234</v>
      </c>
    </row>
    <row r="8" spans="1:6" x14ac:dyDescent="0.25">
      <c r="A8" t="s">
        <v>17</v>
      </c>
      <c r="B8" t="s">
        <v>7</v>
      </c>
      <c r="D8">
        <v>6.8949999999999996</v>
      </c>
      <c r="F8">
        <f t="shared" si="0"/>
        <v>0.77231320776445433</v>
      </c>
    </row>
    <row r="9" spans="1:6" x14ac:dyDescent="0.25">
      <c r="A9" t="s">
        <v>17</v>
      </c>
      <c r="B9" t="s">
        <v>8</v>
      </c>
    </row>
    <row r="10" spans="1:6" x14ac:dyDescent="0.25">
      <c r="A10" t="s">
        <v>17</v>
      </c>
      <c r="B10" t="s">
        <v>9</v>
      </c>
    </row>
    <row r="11" spans="1:6" x14ac:dyDescent="0.25">
      <c r="A11" t="s">
        <v>17</v>
      </c>
      <c r="B11" t="s">
        <v>10</v>
      </c>
    </row>
    <row r="12" spans="1:6" x14ac:dyDescent="0.25">
      <c r="A12" t="s">
        <v>16</v>
      </c>
      <c r="B12" t="s">
        <v>50</v>
      </c>
    </row>
    <row r="13" spans="1:6" x14ac:dyDescent="0.25">
      <c r="A13" t="s">
        <v>16</v>
      </c>
      <c r="B13" t="s">
        <v>51</v>
      </c>
    </row>
    <row r="14" spans="1:6" x14ac:dyDescent="0.25">
      <c r="A14" t="s">
        <v>16</v>
      </c>
      <c r="B14" t="s">
        <v>52</v>
      </c>
    </row>
    <row r="15" spans="1:6" x14ac:dyDescent="0.25">
      <c r="A15" t="s">
        <v>16</v>
      </c>
      <c r="B15" t="s">
        <v>53</v>
      </c>
    </row>
    <row r="16" spans="1:6" x14ac:dyDescent="0.25">
      <c r="A16" t="s">
        <v>16</v>
      </c>
      <c r="B16" t="s">
        <v>54</v>
      </c>
    </row>
    <row r="17" spans="1:2" x14ac:dyDescent="0.25">
      <c r="A17" t="s">
        <v>16</v>
      </c>
      <c r="B17" t="s">
        <v>55</v>
      </c>
    </row>
    <row r="18" spans="1:2" x14ac:dyDescent="0.25">
      <c r="A18" t="s">
        <v>16</v>
      </c>
      <c r="B18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ba314e-1872-4020-85c9-ff4c726c1c0c">
      <Terms xmlns="http://schemas.microsoft.com/office/infopath/2007/PartnerControls"/>
    </lcf76f155ced4ddcb4097134ff3c332f>
    <TaxCatchAll xmlns="e72a6f67-260e-47c0-a21c-1273cc8df69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1601963A9AD4429DC031D7B494B573" ma:contentTypeVersion="11" ma:contentTypeDescription="Create a new document." ma:contentTypeScope="" ma:versionID="4a19b08c9dc6687e82e25f1af7b49187">
  <xsd:schema xmlns:xsd="http://www.w3.org/2001/XMLSchema" xmlns:xs="http://www.w3.org/2001/XMLSchema" xmlns:p="http://schemas.microsoft.com/office/2006/metadata/properties" xmlns:ns2="e1ba314e-1872-4020-85c9-ff4c726c1c0c" xmlns:ns3="e72a6f67-260e-47c0-a21c-1273cc8df697" targetNamespace="http://schemas.microsoft.com/office/2006/metadata/properties" ma:root="true" ma:fieldsID="ebba93ed8f590fce3c8a908d95ae5c2c" ns2:_="" ns3:_="">
    <xsd:import namespace="e1ba314e-1872-4020-85c9-ff4c726c1c0c"/>
    <xsd:import namespace="e72a6f67-260e-47c0-a21c-1273cc8df6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a314e-1872-4020-85c9-ff4c726c1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2a6f67-260e-47c0-a21c-1273cc8df6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c42ec0a-bb8d-4111-b650-ecd65133e63d}" ma:internalName="TaxCatchAll" ma:showField="CatchAllData" ma:web="e72a6f67-260e-47c0-a21c-1273cc8df6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7B516E-BEAB-4A36-9014-40D372B31B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A090CE-7738-4732-845E-A388D253C117}">
  <ds:schemaRefs>
    <ds:schemaRef ds:uri="e72a6f67-260e-47c0-a21c-1273cc8df697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e1ba314e-1872-4020-85c9-ff4c726c1c0c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CBEB504-690D-4695-A1AB-5713CC55F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ba314e-1872-4020-85c9-ff4c726c1c0c"/>
    <ds:schemaRef ds:uri="e72a6f67-260e-47c0-a21c-1273cc8df6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 Stats</vt:lpstr>
      <vt:lpstr>Mesh Converge</vt:lpstr>
      <vt:lpstr>Gear Ratio Calc</vt:lpstr>
      <vt:lpstr>converter</vt:lpstr>
      <vt:lpstr>Results</vt:lpstr>
      <vt:lpstr>Predicted Score</vt:lpstr>
      <vt:lpstr>Optimum Updated</vt:lpstr>
      <vt:lpstr>Optimum</vt:lpstr>
      <vt:lpstr>Actual</vt:lpstr>
      <vt:lpstr>Compare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Kallarackel</dc:creator>
  <cp:keywords/>
  <dc:description/>
  <cp:lastModifiedBy>Kallarackel, Paul</cp:lastModifiedBy>
  <cp:revision/>
  <dcterms:created xsi:type="dcterms:W3CDTF">2024-05-14T10:09:37Z</dcterms:created>
  <dcterms:modified xsi:type="dcterms:W3CDTF">2024-05-24T02:23:52Z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0x010100881601963A9AD4429DC031D7B494B573</vt:lpwstr>
  </property>
  <property fmtid="{D5CDD505-2E9C-101B-9397-08002B2CF9AE}" pid="3" name="MediaServiceImageTags">
    <vt:lpwstr/>
  </property>
</Properties>
</file>